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7.xml.rels" ContentType="application/vnd.openxmlformats-package.relationships+xml"/>
  <Override PartName="/xl/worksheets/_rels/sheet5.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Summary" sheetId="2" state="visible" r:id="rId4"/>
    <sheet name="Assumptions" sheetId="3" state="visible" r:id="rId5"/>
    <sheet name="Recipes" sheetId="4" state="visible" r:id="rId6"/>
    <sheet name="Ingredients" sheetId="5" state="visible" r:id="rId7"/>
    <sheet name="Formulas" sheetId="6" state="visible" r:id="rId8"/>
    <sheet name="Packaging" sheetId="7" state="visible" r:id="rId9"/>
    <sheet name="Shopping list"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<sst xmlns="http://schemas.openxmlformats.org/spreadsheetml/2006/main" count="545" uniqueCount="234">
  <si>
    <t xml:space="preserve">Wholesale Botanics skincare: cost of goods</t>
  </si>
  <si>
    <t xml:space="preserve">Five products x eight sizes. Blue = input you can change. Yellow = blank for you to fill (in-house).</t>
  </si>
  <si>
    <t xml:space="preserve">What this is</t>
  </si>
  <si>
    <t xml:space="preserve">What it costs us to make each product at each size if we BUY everything: base cream or gel, active ingredients, oils, the container and the label. Costs recalculate from the yellow and blue cells.</t>
  </si>
  <si>
    <t xml:space="preserve">Sheets</t>
  </si>
  <si>
    <t xml:space="preserve">Recipes: how much of every ingredient goes into each size, in grams and kilograms. Summary: cost per container, per product and size, with a blank Price column that calculates your margin. Ingredients: every ingredient with supplier, pack, price per kg and the IN-HOUSE columns to fill. Formulas: the recipe for each product. Packaging: container and label by size. Shopping list: what to buy for one batch, minus what is in-house.</t>
  </si>
  <si>
    <t xml:space="preserve">In-house, how to fill it</t>
  </si>
  <si>
    <t xml:space="preserve">Ingredients sheet, yellow columns J to L. Put Y in "In-house?", the kg you have on hand, and your own cost per kg. If you enter an in-house cost per kg, every product that uses it recalculates with that cost; leave it blank and the purchase price is used. The Shopping list uses on-hand kg to show only what still has to be bought. Packaging has the same override.</t>
  </si>
  <si>
    <t xml:space="preserve">Where the numbers come from</t>
  </si>
  <si>
    <t xml:space="preserve">Recipe percentages and supplier prices: our in-house rebuild research (supplier pages read 2026-09-25/26). Packaging: public supplier pages read 2026-10-01 (links on the Packaging sheet), using the 120 to 999 unit price tier, or the lowest case price. Wholesale Botanics oils use our own store's public 25 lb price, so enter your real cost in the in-house column.</t>
  </si>
  <si>
    <t xml:space="preserve">Not included</t>
  </si>
  <si>
    <t xml:space="preserve">Labor, freight, lab testing, shipping the finished product, filling losses, and the preservative (the base cream and gel already contain one). Raw material pack sizes are priced pro rata per kg; real orders round up to whole packs (see Shopping list).</t>
  </si>
  <si>
    <t xml:space="preserve">Check before you rely on it</t>
  </si>
  <si>
    <t xml:space="preserve">The recipes list only the actives and oils we add to the base. The base is a supplier product: its price is for a 5 gallon pail (1 gallon for Night Treatment). Larger sizes would get cheaper base and raw-material prices than shown. Shea butter (Body) and panthenol (Daily) come from the RainShadow base itself, which lists both.</t>
  </si>
  <si>
    <t xml:space="preserve">Prices</t>
  </si>
  <si>
    <t xml:space="preserve">Selling prices are not decided. Enter them in the yellow Price column of Summary to see margin.</t>
  </si>
  <si>
    <t xml:space="preserve">Summary: cost to make, per container</t>
  </si>
  <si>
    <t xml:space="preserve">Buy-everything cost vs cost using your in-house numbers. Enter a selling price in the yellow column to see margin.</t>
  </si>
  <si>
    <t xml:space="preserve">Product</t>
  </si>
  <si>
    <t xml:space="preserve">Size</t>
  </si>
  <si>
    <t xml:space="preserve">Fill (kg)</t>
  </si>
  <si>
    <t xml:space="preserve">Ingredients $ (buy all)</t>
  </si>
  <si>
    <t xml:space="preserve">Ingredients $ (in-house applied)</t>
  </si>
  <si>
    <t xml:space="preserve">Packaging $ (incl. label)</t>
  </si>
  <si>
    <t xml:space="preserve">COGS, buy everything</t>
  </si>
  <si>
    <t xml:space="preserve">COGS, in-house applied</t>
  </si>
  <si>
    <t xml:space="preserve">Selling price ($)</t>
  </si>
  <si>
    <t xml:space="preserve">Margin $ (in-house applied)</t>
  </si>
  <si>
    <t xml:space="preserve">Margin %</t>
  </si>
  <si>
    <t xml:space="preserve">COGS per oz (buy all)</t>
  </si>
  <si>
    <t xml:space="preserve">Neck + Chest Smoothing Cream</t>
  </si>
  <si>
    <t xml:space="preserve">0.5 oz</t>
  </si>
  <si>
    <t xml:space="preserve">1 oz</t>
  </si>
  <si>
    <t xml:space="preserve">2 oz</t>
  </si>
  <si>
    <t xml:space="preserve">4 oz</t>
  </si>
  <si>
    <t xml:space="preserve">16 oz</t>
  </si>
  <si>
    <t xml:space="preserve">5 lb</t>
  </si>
  <si>
    <t xml:space="preserve">25 lb</t>
  </si>
  <si>
    <t xml:space="preserve">100 lb</t>
  </si>
  <si>
    <t xml:space="preserve">400 lb</t>
  </si>
  <si>
    <t xml:space="preserve">Body Smoothing Cream</t>
  </si>
  <si>
    <t xml:space="preserve">Night Treatment Restorative Cream</t>
  </si>
  <si>
    <t xml:space="preserve">Eye Smoothing Treatment</t>
  </si>
  <si>
    <t xml:space="preserve">Daily Plumping Moisturizer</t>
  </si>
  <si>
    <t xml:space="preserve">Assumptions</t>
  </si>
  <si>
    <t xml:space="preserve">Change the blue cells; everything recalculates.</t>
  </si>
  <si>
    <t xml:space="preserve">Input</t>
  </si>
  <si>
    <t xml:space="preserve">Value</t>
  </si>
  <si>
    <t xml:space="preserve">Note</t>
  </si>
  <si>
    <t xml:space="preserve">Density of finished product (kg per litre)</t>
  </si>
  <si>
    <t xml:space="preserve">Water-based creams and gels are about 1.0. A richer cream may be 0.95.</t>
  </si>
  <si>
    <t xml:space="preserve">Fill yield</t>
  </si>
  <si>
    <t xml:space="preserve">100% = every container is filled exactly. Lower it to cover fill loss (for example 97%).</t>
  </si>
  <si>
    <t xml:space="preserve">Batch size for the Shopping list (US gallons)</t>
  </si>
  <si>
    <t xml:space="preserve">One batch. The base is sold in 5 gallon pails, so 5 is the natural size.</t>
  </si>
  <si>
    <t xml:space="preserve">Litres per US gallon</t>
  </si>
  <si>
    <t xml:space="preserve">Constant.</t>
  </si>
  <si>
    <t xml:space="preserve">Litres per fluid ounce</t>
  </si>
  <si>
    <t xml:space="preserve">Recipes: how much of each ingredient goes in</t>
  </si>
  <si>
    <t xml:space="preserve">Amounts for one container of each size. Jar sizes in grams, pail and drum sizes in kilograms; sizes are net weight as on WB labels (100 g = 3.53 oz; 1 kg = 2.205 lb). Edit the % on the Formulas sheet and everything here updates.</t>
  </si>
  <si>
    <t xml:space="preserve">Pilot starting points: percentages are our proposals (suppliers do not publish ratios). Have the chemist confirm them on a small batch before scaling.</t>
  </si>
  <si>
    <t xml:space="preserve">Ingredient</t>
  </si>
  <si>
    <t xml:space="preserve">Role</t>
  </si>
  <si>
    <t xml:space="preserve">% of batch</t>
  </si>
  <si>
    <t xml:space="preserve">g per 100 g finished</t>
  </si>
  <si>
    <t xml:space="preserve">0.5 oz (g)</t>
  </si>
  <si>
    <t xml:space="preserve">1 oz (g)</t>
  </si>
  <si>
    <t xml:space="preserve">2 oz (g)</t>
  </si>
  <si>
    <t xml:space="preserve">4 oz (g)</t>
  </si>
  <si>
    <t xml:space="preserve">16 oz (g)</t>
  </si>
  <si>
    <t xml:space="preserve">5 lb (kg)</t>
  </si>
  <si>
    <t xml:space="preserve">25 lb (kg)</t>
  </si>
  <si>
    <t xml:space="preserve">100 lb (kg)</t>
  </si>
  <si>
    <t xml:space="preserve">400 lb (kg)</t>
  </si>
  <si>
    <t xml:space="preserve">Fill weight of finished product</t>
  </si>
  <si>
    <t xml:space="preserve">Total</t>
  </si>
  <si>
    <t xml:space="preserve">Method (general guidance, confirm with the chemist): weigh the base into the vessel; warm and pre-disperse powders and hyaluronic acid in a little base or water first; add the oils, then the extracts and peptides last at low heat; mix until uniform; check look, pH and viscosity against a retained sample before filling.</t>
  </si>
  <si>
    <t xml:space="preserve">Ingredients: what we buy, and what we already have</t>
  </si>
  <si>
    <t xml:space="preserve">Yellow columns J to L are for you. Cost used (column M) = your in-house cost if filled, otherwise the purchase price.</t>
  </si>
  <si>
    <t xml:space="preserve">Kind</t>
  </si>
  <si>
    <t xml:space="preserve">Supplier</t>
  </si>
  <si>
    <t xml:space="preserve">Pack priced</t>
  </si>
  <si>
    <t xml:space="preserve">Pack size (kg)</t>
  </si>
  <si>
    <t xml:space="preserve">Pack price ($)</t>
  </si>
  <si>
    <t xml:space="preserve">Purchase $ / kg</t>
  </si>
  <si>
    <t xml:space="preserve">Used in</t>
  </si>
  <si>
    <t xml:space="preserve">Link</t>
  </si>
  <si>
    <t xml:space="preserve">In-house? (Y)</t>
  </si>
  <si>
    <t xml:space="preserve">In-house on hand (kg)</t>
  </si>
  <si>
    <t xml:space="preserve">In-house cost ($ / kg)</t>
  </si>
  <si>
    <t xml:space="preserve">Cost used ($ / kg)</t>
  </si>
  <si>
    <t xml:space="preserve">Envii Labs — Soothing &amp; Hydrating Body Lotion (Gallon)</t>
  </si>
  <si>
    <t xml:space="preserve">Base (cream / gel)</t>
  </si>
  <si>
    <t xml:space="preserve">Envii Labs</t>
  </si>
  <si>
    <t xml:space="preserve">1 gal pack</t>
  </si>
  <si>
    <t xml:space="preserve">night</t>
  </si>
  <si>
    <t xml:space="preserve">https://enviilabs.com/soothing-and-hydrating-body-lotion-gallon</t>
  </si>
  <si>
    <t xml:space="preserve">Organic Creations (OR) — Aloe Vera Gel</t>
  </si>
  <si>
    <t xml:space="preserve">Organic Creations (OR)</t>
  </si>
  <si>
    <t xml:space="preserve">5 Gal - Preserve pack</t>
  </si>
  <si>
    <t xml:space="preserve">eye</t>
  </si>
  <si>
    <t xml:space="preserve">https://organic-creations.com/product/aloe-vera-gel/</t>
  </si>
  <si>
    <t xml:space="preserve">RainShadow Labs — All Purpose Lotion</t>
  </si>
  <si>
    <t xml:space="preserve">RainShadow Labs</t>
  </si>
  <si>
    <t xml:space="preserve">5 gal pack</t>
  </si>
  <si>
    <t xml:space="preserve">daily</t>
  </si>
  <si>
    <t xml:space="preserve">https://www.rainshadowlabs.com/products/40017</t>
  </si>
  <si>
    <t xml:space="preserve">Allantoin</t>
  </si>
  <si>
    <t xml:space="preserve">Outside raw</t>
  </si>
  <si>
    <t xml:space="preserve">makingcosmetics.com</t>
  </si>
  <si>
    <t xml:space="preserve">1 kg $63.90</t>
  </si>
  <si>
    <t xml:space="preserve">neck</t>
  </si>
  <si>
    <t xml:space="preserve">https://www.makingcosmetics.com/HUM-ALLA-01.html</t>
  </si>
  <si>
    <t xml:space="preserve">Argireline (acetyl hexapeptide-8) solution</t>
  </si>
  <si>
    <t xml:space="preserve">lotioncrafter.com</t>
  </si>
  <si>
    <t xml:space="preserve">480 g $334.75</t>
  </si>
  <si>
    <t xml:space="preserve">https://www.lotioncrafter.com/products/argireline-np</t>
  </si>
  <si>
    <t xml:space="preserve">Bakuchiol 99%</t>
  </si>
  <si>
    <t xml:space="preserve">formulatorsampleshop.com</t>
  </si>
  <si>
    <t xml:space="preserve">1 kg $1,300</t>
  </si>
  <si>
    <t xml:space="preserve">https://www.formulatorsampleshop.com/products/bakuchiol</t>
  </si>
  <si>
    <t xml:space="preserve">Cucumber fruit extract</t>
  </si>
  <si>
    <t xml:space="preserve">1 kg $61</t>
  </si>
  <si>
    <t xml:space="preserve">https://www.formulatorsampleshop.com/products/fss-cucumber-extract-g-pf</t>
  </si>
  <si>
    <t xml:space="preserve">Green tea extract</t>
  </si>
  <si>
    <t xml:space="preserve">1 kg $65</t>
  </si>
  <si>
    <t xml:space="preserve">https://www.formulatorsampleshop.com/products/fss-green-tea-extract-pf</t>
  </si>
  <si>
    <t xml:space="preserve">Licorice root extract</t>
  </si>
  <si>
    <t xml:space="preserve">1 kg $56.25</t>
  </si>
  <si>
    <t xml:space="preserve">eye, neck, night</t>
  </si>
  <si>
    <t xml:space="preserve">https://www.formulatorsampleshop.com/products/fss-licorice-root-extract-pf</t>
  </si>
  <si>
    <t xml:space="preserve">MSM (methylsulfonylmethane)</t>
  </si>
  <si>
    <t xml:space="preserve">bulksupplements.com</t>
  </si>
  <si>
    <t xml:space="preserve">1 kg $27.97 (supplement grade)</t>
  </si>
  <si>
    <t xml:space="preserve">body</t>
  </si>
  <si>
    <t xml:space="preserve">https://www.bulksupplements.com/products/msm-powder-methylsulfonylmethane</t>
  </si>
  <si>
    <t xml:space="preserve">Niacinamide</t>
  </si>
  <si>
    <t xml:space="preserve">5 kg $224.80</t>
  </si>
  <si>
    <t xml:space="preserve">body, daily</t>
  </si>
  <si>
    <t xml:space="preserve">https://www.makingcosmetics.com/VIT-NIAC-01.html</t>
  </si>
  <si>
    <t xml:space="preserve">Peptide complex (palmitoyl tripeptide-1 + tetrapeptide-7)</t>
  </si>
  <si>
    <t xml:space="preserve">480 g $320.25</t>
  </si>
  <si>
    <t xml:space="preserve">https://www.lotioncrafter.com/products/lcpeptide-3000</t>
  </si>
  <si>
    <t xml:space="preserve">Sodium hyaluronate (hyaluronic acid, HMW)</t>
  </si>
  <si>
    <t xml:space="preserve">1 kg $498</t>
  </si>
  <si>
    <t xml:space="preserve">daily, eye, neck, night</t>
  </si>
  <si>
    <t xml:space="preserve">https://www.makingcosmetics.com/HUM-HYAL-01.html</t>
  </si>
  <si>
    <t xml:space="preserve">Avocado Oil</t>
  </si>
  <si>
    <t xml:space="preserve">WB oil</t>
  </si>
  <si>
    <t xml:space="preserve">Wholesale Botanics (our store, public 25 lb price)</t>
  </si>
  <si>
    <t xml:space="preserve">25 lb pail</t>
  </si>
  <si>
    <t xml:space="preserve">daily, eye</t>
  </si>
  <si>
    <t xml:space="preserve">https://wholesalebotanics.com/products/avocado-oil</t>
  </si>
  <si>
    <t xml:space="preserve">Castor Oil</t>
  </si>
  <si>
    <t xml:space="preserve">https://wholesalebotanics.com/products/castor-oil</t>
  </si>
  <si>
    <t xml:space="preserve">Coffee essential oil (botanical)</t>
  </si>
  <si>
    <t xml:space="preserve">https://wholesalebotanics.com/products/coffee-essential-oil</t>
  </si>
  <si>
    <t xml:space="preserve">Evening Primrose Oil</t>
  </si>
  <si>
    <t xml:space="preserve">https://wholesalebotanics.com/products/evening-primrose-oil</t>
  </si>
  <si>
    <t xml:space="preserve">Jojoba Oil</t>
  </si>
  <si>
    <t xml:space="preserve">https://wholesalebotanics.com/products/jojoba-oil</t>
  </si>
  <si>
    <t xml:space="preserve">Marula Oil</t>
  </si>
  <si>
    <t xml:space="preserve">https://wholesalebotanics.com/products/marula-oil</t>
  </si>
  <si>
    <t xml:space="preserve">Red Raspberry Seed Oil</t>
  </si>
  <si>
    <t xml:space="preserve">https://wholesalebotanics.com/products/red-raspberry-seed-oil</t>
  </si>
  <si>
    <t xml:space="preserve">Rosehip Oil</t>
  </si>
  <si>
    <t xml:space="preserve">https://wholesalebotanics.com/products/rosehip-oil</t>
  </si>
  <si>
    <t xml:space="preserve">Squalane Oil (Olive)</t>
  </si>
  <si>
    <t xml:space="preserve">https://wholesalebotanics.com/products/squalane-oil</t>
  </si>
  <si>
    <t xml:space="preserve">Tamanu Oil</t>
  </si>
  <si>
    <t xml:space="preserve">https://wholesalebotanics.com/products/tamanu-oil</t>
  </si>
  <si>
    <t xml:space="preserve">Vitamin E Oil</t>
  </si>
  <si>
    <t xml:space="preserve">https://wholesalebotanics.com/products/vitamin-e-oil</t>
  </si>
  <si>
    <t xml:space="preserve">Base cream/gel pack sizes are litres at 1.0 kg/L. WB oil pack prices are derived from our public $/kg x 25 lb. Optional rows are claims on the product pages that the recipe does not contain.</t>
  </si>
  <si>
    <t xml:space="preserve">Formulas: cost per kg of finished product</t>
  </si>
  <si>
    <t xml:space="preserve">% of batch is the recipe (blue, editable). The base is the remainder. Optional lines are 0% until you set them.</t>
  </si>
  <si>
    <t xml:space="preserve">Cost used $ / kg</t>
  </si>
  <si>
    <t xml:space="preserve">$ per kg finished (buy all)</t>
  </si>
  <si>
    <t xml:space="preserve">$ per kg finished (cost used)</t>
  </si>
  <si>
    <t xml:space="preserve">Add-in</t>
  </si>
  <si>
    <t xml:space="preserve">Base (remainder)</t>
  </si>
  <si>
    <t xml:space="preserve">Total per kg of finished product</t>
  </si>
  <si>
    <t xml:space="preserve">Packaging by size</t>
  </si>
  <si>
    <t xml:space="preserve">Container (lid or cap included) plus label. Prices read from public supplier pages on 2026-10-01; change the blue cells. Fill the yellow column if we already stock it.</t>
  </si>
  <si>
    <t xml:space="preserve">Container</t>
  </si>
  <si>
    <t xml:space="preserve">Supplier / listing</t>
  </si>
  <si>
    <t xml:space="preserve">Container price ($)</t>
  </si>
  <si>
    <t xml:space="preserve">Label ($)</t>
  </si>
  <si>
    <t xml:space="preserve">In-house cost per unit ($)</t>
  </si>
  <si>
    <t xml:space="preserve">Packaging used ($)</t>
  </si>
  <si>
    <t xml:space="preserve">0.5 oz clear glass jar, black plastic lid</t>
  </si>
  <si>
    <t xml:space="preserve">Specialty Bottle (0.5 oz price not listed: 1 oz SS1 price used)</t>
  </si>
  <si>
    <t xml:space="preserve">https://www.specialtybottle.com/glass-jars/clear-straight-sided/plastic-lid/1oz-ss1</t>
  </si>
  <si>
    <t xml:space="preserve">Replace with a real 0.5 oz jar quote</t>
  </si>
  <si>
    <t xml:space="preserve">1 oz clear glass straight-sided jar, black plastic lid</t>
  </si>
  <si>
    <t xml:space="preserve">Specialty Bottle SS1, 120 to 999 tier</t>
  </si>
  <si>
    <t xml:space="preserve">$0.90 at 1 to 119</t>
  </si>
  <si>
    <t xml:space="preserve">2 oz clear glass straight-sided jar, black plastic lid</t>
  </si>
  <si>
    <t xml:space="preserve">Specialty Bottle SS2, 120 to 999 tier</t>
  </si>
  <si>
    <t xml:space="preserve">https://www.specialtybottle.com/glass-jars/clear-straight-sided/plastic-lid/2oz-ss2</t>
  </si>
  <si>
    <t xml:space="preserve">$1.06 at 1 to 119</t>
  </si>
  <si>
    <t xml:space="preserve">4 oz clear glass straight-sided jar, black plastic lid</t>
  </si>
  <si>
    <t xml:space="preserve">Specialty Bottle SS4, 120 to 999 tier</t>
  </si>
  <si>
    <t xml:space="preserve">https://www.specialtybottle.com/glass-jars/clear-straight-sided/plastic-lid/4oz-ss4</t>
  </si>
  <si>
    <t xml:space="preserve">$1.11 at 1 to 119</t>
  </si>
  <si>
    <t xml:space="preserve">16 oz clear PET plastic jar, black lid</t>
  </si>
  <si>
    <t xml:space="preserve">Specialty Bottle PSQC16BD, 308 to 999 tier</t>
  </si>
  <si>
    <t xml:space="preserve">https://www.specialtybottle.com/plastic-jars/clear-pet/square/dome-lids/16oz-psqc16bd</t>
  </si>
  <si>
    <t xml:space="preserve">Square PET jar</t>
  </si>
  <si>
    <t xml:space="preserve">1 gallon white plastic pail, metal handle, gasket lid</t>
  </si>
  <si>
    <t xml:space="preserve">The Cary Company P9 pail $3.26 + lid $1.34</t>
  </si>
  <si>
    <t xml:space="preserve">https://www.thecarycompany.com/containers/pails</t>
  </si>
  <si>
    <t xml:space="preserve">5 lb of cream is about 0.6 gal; a 1 gal pail fits</t>
  </si>
  <si>
    <t xml:space="preserve">5 gallon white plastic pail, lid and handle</t>
  </si>
  <si>
    <t xml:space="preserve">The Cary Company, 10-pack</t>
  </si>
  <si>
    <t xml:space="preserve">https://www.thecarycompany.com/containers/pails/plastic</t>
  </si>
  <si>
    <t xml:space="preserve">25 lb is about 3 gal; WB uses a 5 gal pail for 25 lb butters</t>
  </si>
  <si>
    <t xml:space="preserve">15 gallon open-head plastic drum, lever-lock lid</t>
  </si>
  <si>
    <t xml:space="preserve">The Cary Company 56WT15, 8-unit price</t>
  </si>
  <si>
    <t xml:space="preserve">https://www.thecarycompany.com/15-gallon-open-head-plastic-drum-56wt15</t>
  </si>
  <si>
    <t xml:space="preserve">Photos show the standard WB pail, as on its 100 lb butters; confirm the real shipping container with WB operations. $92.07 for one</t>
  </si>
  <si>
    <t xml:space="preserve">55 gallon open-head poly drum, ring-lock lid</t>
  </si>
  <si>
    <t xml:space="preserve">Air Sea Containers, new UN-rated</t>
  </si>
  <si>
    <t xml:space="preserve">https://airseacontainers.com/55-gallon-open-head-poly-drum.html</t>
  </si>
  <si>
    <t xml:space="preserve">Photos show the standard WB pail, as on its 400 lb butters; confirm the real shipping container with WB operations</t>
  </si>
  <si>
    <t xml:space="preserve">Label: $0.264 each is Avery WePrint 4 x 2 in matte roll labels at 1,000 (a $0.19 to $0.38 range across printers). Labels for the pails and drums are larger and will cost more: replace column E when you have a quote. Shipping and duties are not included.</t>
  </si>
  <si>
    <t xml:space="preserve">Shopping list: what to buy for one batch</t>
  </si>
  <si>
    <t xml:space="preserve">Batch size is set on Assumptions. On-hand kg comes from Ingredients column K (one stock shared by all products: read each block on its own).</t>
  </si>
  <si>
    <t xml:space="preserve">Need (kg)</t>
  </si>
  <si>
    <t xml:space="preserve">On hand (kg)</t>
  </si>
  <si>
    <t xml:space="preserve">Still to buy (kg)</t>
  </si>
  <si>
    <t xml:space="preserve">Packs to buy</t>
  </si>
  <si>
    <t xml:space="preserve">Cost to buy ($)</t>
  </si>
  <si>
    <t xml:space="preserve">Total to buy for this batch</t>
  </si>
</sst>
</file>

<file path=xl/styles.xml><?xml version="1.0" encoding="utf-8"?>
<styleSheet xmlns="http://schemas.openxmlformats.org/spreadsheetml/2006/main">
  <numFmts count="14">
    <numFmt numFmtId="164" formatCode="General"/>
    <numFmt numFmtId="165" formatCode="#,##0.000"/>
    <numFmt numFmtId="166" formatCode="\$#,##0.00;&quot;($&quot;#,##0.00\);\-"/>
    <numFmt numFmtId="167" formatCode="0.0%"/>
    <numFmt numFmtId="168" formatCode="\$#,##0.0000"/>
    <numFmt numFmtId="169" formatCode="0.00"/>
    <numFmt numFmtId="170" formatCode="0%"/>
    <numFmt numFmtId="171" formatCode="0"/>
    <numFmt numFmtId="172" formatCode="0.00000"/>
    <numFmt numFmtId="173" formatCode="0.0000000"/>
    <numFmt numFmtId="174" formatCode="#,##0.00"/>
    <numFmt numFmtId="175" formatCode="#,##0.0"/>
    <numFmt numFmtId="176" formatCode="0.00%"/>
    <numFmt numFmtId="177" formatCode="0.000"/>
  </numFmts>
  <fonts count="13">
    <font>
      <sz val="11"/>
      <color theme="1"/>
      <name val="Calibri"/>
      <family val="2"/>
      <charset val="1"/>
    </font>
    <font>
      <sz val="10"/>
      <name val="Arial"/>
      <family val="0"/>
    </font>
    <font>
      <sz val="10"/>
      <name val="Arial"/>
      <family val="0"/>
    </font>
    <font>
      <sz val="10"/>
      <name val="Arial"/>
      <family val="0"/>
    </font>
    <font>
      <b val="true"/>
      <sz val="18"/>
      <color rgb="FF0F5F54"/>
      <name val="Arial"/>
      <family val="0"/>
      <charset val="1"/>
    </font>
    <font>
      <i val="true"/>
      <sz val="10"/>
      <color rgb="FF555555"/>
      <name val="Arial"/>
      <family val="0"/>
      <charset val="1"/>
    </font>
    <font>
      <b val="true"/>
      <sz val="10"/>
      <name val="Arial"/>
      <family val="0"/>
      <charset val="1"/>
    </font>
    <font>
      <sz val="10"/>
      <name val="Arial"/>
      <family val="0"/>
      <charset val="1"/>
    </font>
    <font>
      <b val="true"/>
      <sz val="10"/>
      <color rgb="FFFFFFFF"/>
      <name val="Arial"/>
      <family val="0"/>
      <charset val="1"/>
    </font>
    <font>
      <sz val="10"/>
      <color rgb="FF0000FF"/>
      <name val="Arial"/>
      <family val="0"/>
      <charset val="1"/>
    </font>
    <font>
      <i val="true"/>
      <sz val="9"/>
      <color rgb="FF5A5A5A"/>
      <name val="Arial"/>
      <family val="0"/>
      <charset val="1"/>
    </font>
    <font>
      <b val="true"/>
      <sz val="12"/>
      <color rgb="FF0F5F54"/>
      <name val="Arial"/>
      <family val="0"/>
      <charset val="1"/>
    </font>
    <font>
      <u val="single"/>
      <sz val="10"/>
      <color rgb="FF1F4E9A"/>
      <name val="Arial"/>
      <family val="0"/>
      <charset val="1"/>
    </font>
  </fonts>
  <fills count="6">
    <fill>
      <patternFill patternType="none"/>
    </fill>
    <fill>
      <patternFill patternType="gray125"/>
    </fill>
    <fill>
      <patternFill patternType="solid">
        <fgColor rgb="FFFCF9EC"/>
        <bgColor rgb="FFFFFFFF"/>
      </patternFill>
    </fill>
    <fill>
      <patternFill patternType="solid">
        <fgColor rgb="FF0F5F54"/>
        <bgColor rgb="FF1F4E9A"/>
      </patternFill>
    </fill>
    <fill>
      <patternFill patternType="solid">
        <fgColor rgb="FFFFF2A8"/>
        <bgColor rgb="FFFCF9EC"/>
      </patternFill>
    </fill>
    <fill>
      <patternFill patternType="solid">
        <fgColor rgb="FFD9EEF0"/>
        <bgColor rgb="FFCCFFFF"/>
      </patternFill>
    </fill>
  </fills>
  <borders count="2">
    <border diagonalUp="false" diagonalDown="false">
      <left/>
      <right/>
      <top/>
      <bottom/>
      <diagonal/>
    </border>
    <border diagonalUp="false" diagonalDown="false">
      <left style="thin">
        <color rgb="FFD8D8D8"/>
      </left>
      <right style="thin">
        <color rgb="FFD8D8D8"/>
      </right>
      <top style="thin">
        <color rgb="FFD8D8D8"/>
      </top>
      <bottom style="thin">
        <color rgb="FFD8D8D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6" fontId="6" fillId="2" borderId="1" xfId="0" applyFont="true" applyBorder="true" applyAlignment="true" applyProtection="false">
      <alignment horizontal="general" vertical="top" textRotation="0" wrapText="true" indent="0" shrinkToFit="false"/>
      <protection locked="true" hidden="false"/>
    </xf>
    <xf numFmtId="166" fontId="9" fillId="4" borderId="1" xfId="0" applyFont="true" applyBorder="true" applyAlignment="true" applyProtection="false">
      <alignment horizontal="general" vertical="top" textRotation="0" wrapText="true" indent="0" shrinkToFit="false"/>
      <protection locked="true" hidden="false"/>
    </xf>
    <xf numFmtId="167" fontId="7" fillId="0" borderId="1" xfId="0" applyFont="true" applyBorder="true" applyAlignment="true" applyProtection="false">
      <alignment horizontal="general" vertical="top" textRotation="0" wrapText="true" indent="0" shrinkToFit="false"/>
      <protection locked="true" hidden="false"/>
    </xf>
    <xf numFmtId="168" fontId="7" fillId="0" borderId="1" xfId="0" applyFont="true" applyBorder="true" applyAlignment="true" applyProtection="false">
      <alignment horizontal="general" vertical="top" textRotation="0" wrapText="true" indent="0" shrinkToFit="false"/>
      <protection locked="true" hidden="false"/>
    </xf>
    <xf numFmtId="169" fontId="9" fillId="4"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70" fontId="9" fillId="4" borderId="1" xfId="0" applyFont="true" applyBorder="true" applyAlignment="true" applyProtection="false">
      <alignment horizontal="general" vertical="top" textRotation="0" wrapText="true" indent="0" shrinkToFit="false"/>
      <protection locked="true" hidden="false"/>
    </xf>
    <xf numFmtId="171" fontId="9" fillId="4" borderId="1" xfId="0" applyFont="true" applyBorder="true" applyAlignment="true" applyProtection="false">
      <alignment horizontal="general" vertical="top" textRotation="0" wrapText="true" indent="0" shrinkToFit="false"/>
      <protection locked="true" hidden="false"/>
    </xf>
    <xf numFmtId="172" fontId="9" fillId="0" borderId="1" xfId="0" applyFont="true" applyBorder="true" applyAlignment="true" applyProtection="false">
      <alignment horizontal="general" vertical="top" textRotation="0" wrapText="true" indent="0" shrinkToFit="false"/>
      <protection locked="true" hidden="false"/>
    </xf>
    <xf numFmtId="173" fontId="9"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general" vertical="top" textRotation="0" wrapText="true" indent="0" shrinkToFit="false"/>
      <protection locked="true" hidden="false"/>
    </xf>
    <xf numFmtId="174" fontId="6" fillId="2" borderId="1" xfId="0" applyFont="true" applyBorder="true" applyAlignment="true" applyProtection="false">
      <alignment horizontal="general" vertical="top" textRotation="0" wrapText="true" indent="0" shrinkToFit="false"/>
      <protection locked="true" hidden="false"/>
    </xf>
    <xf numFmtId="175" fontId="6" fillId="2" borderId="1" xfId="0" applyFont="true" applyBorder="true" applyAlignment="true" applyProtection="false">
      <alignment horizontal="general" vertical="top" textRotation="0" wrapText="true" indent="0" shrinkToFit="false"/>
      <protection locked="true" hidden="false"/>
    </xf>
    <xf numFmtId="164" fontId="11" fillId="5" borderId="1" xfId="0" applyFont="true" applyBorder="true" applyAlignment="true" applyProtection="false">
      <alignment horizontal="general" vertical="top" textRotation="0" wrapText="true" indent="0" shrinkToFit="false"/>
      <protection locked="true" hidden="false"/>
    </xf>
    <xf numFmtId="164" fontId="7" fillId="5" borderId="1" xfId="0" applyFont="true" applyBorder="true" applyAlignment="true" applyProtection="false">
      <alignment horizontal="general" vertical="top" textRotation="0" wrapText="true" indent="0" shrinkToFit="false"/>
      <protection locked="true" hidden="false"/>
    </xf>
    <xf numFmtId="176" fontId="7" fillId="0" borderId="1" xfId="0" applyFont="true" applyBorder="true" applyAlignment="true" applyProtection="false">
      <alignment horizontal="general" vertical="top" textRotation="0" wrapText="true" indent="0" shrinkToFit="false"/>
      <protection locked="true" hidden="false"/>
    </xf>
    <xf numFmtId="177" fontId="7" fillId="0" borderId="1" xfId="0" applyFont="true" applyBorder="true" applyAlignment="true" applyProtection="false">
      <alignment horizontal="general" vertical="top" textRotation="0" wrapText="true" indent="0" shrinkToFit="false"/>
      <protection locked="true" hidden="false"/>
    </xf>
    <xf numFmtId="174" fontId="7" fillId="0" borderId="1" xfId="0" applyFont="true" applyBorder="true" applyAlignment="true" applyProtection="false">
      <alignment horizontal="general" vertical="top" textRotation="0" wrapText="true" indent="0" shrinkToFit="false"/>
      <protection locked="true" hidden="false"/>
    </xf>
    <xf numFmtId="176" fontId="6" fillId="2" borderId="1" xfId="0" applyFont="true" applyBorder="true" applyAlignment="true" applyProtection="false">
      <alignment horizontal="general" vertical="top" textRotation="0" wrapText="true" indent="0" shrinkToFit="false"/>
      <protection locked="true" hidden="false"/>
    </xf>
    <xf numFmtId="177" fontId="6" fillId="2" borderId="1" xfId="0" applyFont="true" applyBorder="true" applyAlignment="true" applyProtection="false">
      <alignment horizontal="general" vertical="top" textRotation="0" wrapText="true" indent="0" shrinkToFit="false"/>
      <protection locked="true" hidden="false"/>
    </xf>
    <xf numFmtId="165" fontId="6" fillId="2" borderId="1" xfId="0" applyFont="true" applyBorder="true" applyAlignment="true" applyProtection="false">
      <alignment horizontal="general" vertical="top" textRotation="0" wrapText="true" indent="0" shrinkToFit="false"/>
      <protection locked="true" hidden="false"/>
    </xf>
    <xf numFmtId="165" fontId="9" fillId="0" borderId="1" xfId="0" applyFont="true" applyBorder="true" applyAlignment="true" applyProtection="false">
      <alignment horizontal="general" vertical="top" textRotation="0" wrapText="true" indent="0" shrinkToFit="false"/>
      <protection locked="true" hidden="false"/>
    </xf>
    <xf numFmtId="166" fontId="9" fillId="0" borderId="1" xfId="0" applyFont="true" applyBorder="true" applyAlignment="true" applyProtection="false">
      <alignment horizontal="general" vertical="top" textRotation="0" wrapText="true" indent="0" shrinkToFit="false"/>
      <protection locked="true" hidden="false"/>
    </xf>
    <xf numFmtId="164" fontId="12" fillId="0" borderId="1" xfId="0" applyFont="true" applyBorder="true" applyAlignment="true" applyProtection="false">
      <alignment horizontal="general" vertical="top" textRotation="0" wrapText="tru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65" fontId="9" fillId="4" borderId="1" xfId="0" applyFont="true" applyBorder="true" applyAlignment="true" applyProtection="false">
      <alignment horizontal="general" vertical="top" textRotation="0" wrapText="true" indent="0" shrinkToFit="false"/>
      <protection locked="true" hidden="false"/>
    </xf>
    <xf numFmtId="176" fontId="9" fillId="0" borderId="1" xfId="0" applyFont="true" applyBorder="true" applyAlignment="true" applyProtection="false">
      <alignment horizontal="general" vertical="top" textRotation="0" wrapText="true" indent="0" shrinkToFit="false"/>
      <protection locked="true" hidden="false"/>
    </xf>
    <xf numFmtId="168" fontId="9" fillId="0" borderId="1" xfId="0" applyFont="true" applyBorder="true" applyAlignment="true" applyProtection="false">
      <alignment horizontal="general" vertical="top" textRotation="0" wrapText="true" indent="0" shrinkToFit="false"/>
      <protection locked="true" hidden="false"/>
    </xf>
    <xf numFmtId="171" fontId="7" fillId="0"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5F54"/>
      <rgbColor rgb="FFC0C0C0"/>
      <rgbColor rgb="FF808080"/>
      <rgbColor rgb="FF9999FF"/>
      <rgbColor rgb="FF993366"/>
      <rgbColor rgb="FFFCF9EC"/>
      <rgbColor rgb="FFD9EEF0"/>
      <rgbColor rgb="FF660066"/>
      <rgbColor rgb="FFFF8080"/>
      <rgbColor rgb="FF0066CC"/>
      <rgbColor rgb="FFD8D8D8"/>
      <rgbColor rgb="FF000080"/>
      <rgbColor rgb="FFFF00FF"/>
      <rgbColor rgb="FFFFFF00"/>
      <rgbColor rgb="FF00FFFF"/>
      <rgbColor rgb="FF800080"/>
      <rgbColor rgb="FF800000"/>
      <rgbColor rgb="FF008080"/>
      <rgbColor rgb="FF0000FF"/>
      <rgbColor rgb="FF00CCFF"/>
      <rgbColor rgb="FFCCFFFF"/>
      <rgbColor rgb="FFCCFFCC"/>
      <rgbColor rgb="FFFFF2A8"/>
      <rgbColor rgb="FF99CCFF"/>
      <rgbColor rgb="FFFF99CC"/>
      <rgbColor rgb="FFCC99FF"/>
      <rgbColor rgb="FFFFCC99"/>
      <rgbColor rgb="FF3366FF"/>
      <rgbColor rgb="FF33CCCC"/>
      <rgbColor rgb="FF99CC00"/>
      <rgbColor rgb="FFFFCC00"/>
      <rgbColor rgb="FFFF9900"/>
      <rgbColor rgb="FFFF6600"/>
      <rgbColor rgb="FF5A5A5A"/>
      <rgbColor rgb="FF969696"/>
      <rgbColor rgb="FF003366"/>
      <rgbColor rgb="FF339966"/>
      <rgbColor rgb="FF003300"/>
      <rgbColor rgb="FF333300"/>
      <rgbColor rgb="FF993300"/>
      <rgbColor rgb="FF993366"/>
      <rgbColor rgb="FF1F4E9A"/>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5.xml.rels><?xml version="1.0" encoding="UTF-8"?>
<Relationships xmlns="http://schemas.openxmlformats.org/package/2006/relationships"><Relationship Id="rId1" Type="http://schemas.openxmlformats.org/officeDocument/2006/relationships/hyperlink" Target="https://enviilabs.com/soothing-and-hydrating-body-lotion-gallon" TargetMode="External"/><Relationship Id="rId2" Type="http://schemas.openxmlformats.org/officeDocument/2006/relationships/hyperlink" Target="https://organic-creations.com/product/aloe-vera-gel/" TargetMode="External"/><Relationship Id="rId3" Type="http://schemas.openxmlformats.org/officeDocument/2006/relationships/hyperlink" Target="https://www.rainshadowlabs.com/products/40017" TargetMode="External"/><Relationship Id="rId4" Type="http://schemas.openxmlformats.org/officeDocument/2006/relationships/hyperlink" Target="https://www.makingcosmetics.com/HUM-ALLA-01.html" TargetMode="External"/><Relationship Id="rId5" Type="http://schemas.openxmlformats.org/officeDocument/2006/relationships/hyperlink" Target="https://www.lotioncrafter.com/products/argireline-np" TargetMode="External"/><Relationship Id="rId6" Type="http://schemas.openxmlformats.org/officeDocument/2006/relationships/hyperlink" Target="https://www.formulatorsampleshop.com/products/bakuchiol" TargetMode="External"/><Relationship Id="rId7" Type="http://schemas.openxmlformats.org/officeDocument/2006/relationships/hyperlink" Target="https://www.formulatorsampleshop.com/products/fss-cucumber-extract-g-pf" TargetMode="External"/><Relationship Id="rId8" Type="http://schemas.openxmlformats.org/officeDocument/2006/relationships/hyperlink" Target="https://www.formulatorsampleshop.com/products/fss-green-tea-extract-pf" TargetMode="External"/><Relationship Id="rId9" Type="http://schemas.openxmlformats.org/officeDocument/2006/relationships/hyperlink" Target="https://www.formulatorsampleshop.com/products/fss-licorice-root-extract-pf" TargetMode="External"/><Relationship Id="rId10" Type="http://schemas.openxmlformats.org/officeDocument/2006/relationships/hyperlink" Target="https://www.bulksupplements.com/products/msm-powder-methylsulfonylmethane" TargetMode="External"/><Relationship Id="rId11" Type="http://schemas.openxmlformats.org/officeDocument/2006/relationships/hyperlink" Target="https://www.makingcosmetics.com/VIT-NIAC-01.html" TargetMode="External"/><Relationship Id="rId12" Type="http://schemas.openxmlformats.org/officeDocument/2006/relationships/hyperlink" Target="https://www.lotioncrafter.com/products/lcpeptide-3000" TargetMode="External"/><Relationship Id="rId13" Type="http://schemas.openxmlformats.org/officeDocument/2006/relationships/hyperlink" Target="https://www.makingcosmetics.com/HUM-HYAL-01.html" TargetMode="External"/><Relationship Id="rId14" Type="http://schemas.openxmlformats.org/officeDocument/2006/relationships/hyperlink" Target="https://wholesalebotanics.com/products/avocado-oil" TargetMode="External"/><Relationship Id="rId15" Type="http://schemas.openxmlformats.org/officeDocument/2006/relationships/hyperlink" Target="https://wholesalebotanics.com/products/castor-oil" TargetMode="External"/><Relationship Id="rId16" Type="http://schemas.openxmlformats.org/officeDocument/2006/relationships/hyperlink" Target="https://wholesalebotanics.com/products/coffee-essential-oil" TargetMode="External"/><Relationship Id="rId17" Type="http://schemas.openxmlformats.org/officeDocument/2006/relationships/hyperlink" Target="https://wholesalebotanics.com/products/evening-primrose-oil" TargetMode="External"/><Relationship Id="rId18" Type="http://schemas.openxmlformats.org/officeDocument/2006/relationships/hyperlink" Target="https://wholesalebotanics.com/products/jojoba-oil" TargetMode="External"/><Relationship Id="rId19" Type="http://schemas.openxmlformats.org/officeDocument/2006/relationships/hyperlink" Target="https://wholesalebotanics.com/products/marula-oil" TargetMode="External"/><Relationship Id="rId20" Type="http://schemas.openxmlformats.org/officeDocument/2006/relationships/hyperlink" Target="https://wholesalebotanics.com/products/red-raspberry-seed-oil" TargetMode="External"/><Relationship Id="rId21" Type="http://schemas.openxmlformats.org/officeDocument/2006/relationships/hyperlink" Target="https://wholesalebotanics.com/products/rosehip-oil" TargetMode="External"/><Relationship Id="rId22" Type="http://schemas.openxmlformats.org/officeDocument/2006/relationships/hyperlink" Target="https://wholesalebotanics.com/products/squalane-oil" TargetMode="External"/><Relationship Id="rId23" Type="http://schemas.openxmlformats.org/officeDocument/2006/relationships/hyperlink" Target="https://wholesalebotanics.com/products/tamanu-oil" TargetMode="External"/><Relationship Id="rId24" Type="http://schemas.openxmlformats.org/officeDocument/2006/relationships/hyperlink" Target="https://wholesalebotanics.com/products/vitamin-e-oil" TargetMode="External"/>
</Relationships>
</file>

<file path=xl/worksheets/_rels/sheet7.xml.rels><?xml version="1.0" encoding="UTF-8"?>
<Relationships xmlns="http://schemas.openxmlformats.org/package/2006/relationships"><Relationship Id="rId1" Type="http://schemas.openxmlformats.org/officeDocument/2006/relationships/hyperlink" Target="https://www.specialtybottle.com/glass-jars/clear-straight-sided/plastic-lid/1oz-ss1" TargetMode="External"/><Relationship Id="rId2" Type="http://schemas.openxmlformats.org/officeDocument/2006/relationships/hyperlink" Target="https://www.specialtybottle.com/glass-jars/clear-straight-sided/plastic-lid/1oz-ss1" TargetMode="External"/><Relationship Id="rId3" Type="http://schemas.openxmlformats.org/officeDocument/2006/relationships/hyperlink" Target="https://www.specialtybottle.com/glass-jars/clear-straight-sided/plastic-lid/2oz-ss2" TargetMode="External"/><Relationship Id="rId4" Type="http://schemas.openxmlformats.org/officeDocument/2006/relationships/hyperlink" Target="https://www.specialtybottle.com/glass-jars/clear-straight-sided/plastic-lid/4oz-ss4" TargetMode="External"/><Relationship Id="rId5" Type="http://schemas.openxmlformats.org/officeDocument/2006/relationships/hyperlink" Target="https://www.specialtybottle.com/plastic-jars/clear-pet/square/dome-lids/16oz-psqc16bd" TargetMode="External"/><Relationship Id="rId6" Type="http://schemas.openxmlformats.org/officeDocument/2006/relationships/hyperlink" Target="https://www.thecarycompany.com/containers/pails" TargetMode="External"/><Relationship Id="rId7" Type="http://schemas.openxmlformats.org/officeDocument/2006/relationships/hyperlink" Target="https://www.thecarycompany.com/containers/pails/plastic" TargetMode="External"/><Relationship Id="rId8" Type="http://schemas.openxmlformats.org/officeDocument/2006/relationships/hyperlink" Target="https://www.thecarycompany.com/15-gallon-open-head-plastic-drum-56wt15" TargetMode="External"/><Relationship Id="rId9" Type="http://schemas.openxmlformats.org/officeDocument/2006/relationships/hyperlink" Target="https://airseacontainers.com/55-gallon-open-head-poly-drum.html"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2" min="2" style="0" width="120"/>
  </cols>
  <sheetData>
    <row r="1" customFormat="false" ht="22.05" hidden="false" customHeight="false" outlineLevel="0" collapsed="false">
      <c r="A1" s="1" t="s">
        <v>0</v>
      </c>
    </row>
    <row r="2" customFormat="false" ht="15" hidden="false" customHeight="false" outlineLevel="0" collapsed="false">
      <c r="A2" s="2" t="s">
        <v>1</v>
      </c>
    </row>
    <row r="4" customFormat="false" ht="61.5" hidden="false" customHeight="true" outlineLevel="0" collapsed="false">
      <c r="A4" s="3" t="s">
        <v>2</v>
      </c>
      <c r="B4" s="4" t="s">
        <v>3</v>
      </c>
    </row>
    <row r="5" customFormat="false" ht="61.5" hidden="false" customHeight="true" outlineLevel="0" collapsed="false">
      <c r="A5" s="3" t="s">
        <v>4</v>
      </c>
      <c r="B5" s="4" t="s">
        <v>5</v>
      </c>
    </row>
    <row r="6" customFormat="false" ht="61.5" hidden="false" customHeight="true" outlineLevel="0" collapsed="false">
      <c r="A6" s="3" t="s">
        <v>6</v>
      </c>
      <c r="B6" s="4" t="s">
        <v>7</v>
      </c>
    </row>
    <row r="7" customFormat="false" ht="61.5" hidden="false" customHeight="true" outlineLevel="0" collapsed="false">
      <c r="A7" s="3" t="s">
        <v>8</v>
      </c>
      <c r="B7" s="4" t="s">
        <v>9</v>
      </c>
    </row>
    <row r="8" customFormat="false" ht="61.5" hidden="false" customHeight="true" outlineLevel="0" collapsed="false">
      <c r="A8" s="3" t="s">
        <v>10</v>
      </c>
      <c r="B8" s="4" t="s">
        <v>11</v>
      </c>
    </row>
    <row r="9" customFormat="false" ht="61.5" hidden="false" customHeight="true" outlineLevel="0" collapsed="false">
      <c r="A9" s="3" t="s">
        <v>12</v>
      </c>
      <c r="B9" s="4" t="s">
        <v>13</v>
      </c>
    </row>
    <row r="10" customFormat="false" ht="61.5" hidden="false" customHeight="true" outlineLevel="0" collapsed="false">
      <c r="A10" s="3" t="s">
        <v>14</v>
      </c>
      <c r="B10" s="4"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36"/>
    <col collapsed="false" customWidth="true" hidden="false" outlineLevel="0" max="2" min="2" style="0" width="8"/>
    <col collapsed="false" customWidth="true" hidden="false" outlineLevel="0" max="3" min="3" style="0" width="11"/>
    <col collapsed="false" customWidth="true" hidden="false" outlineLevel="0" max="4" min="4" style="0" width="15"/>
    <col collapsed="false" customWidth="true" hidden="false" outlineLevel="0" max="5" min="5" style="0" width="17"/>
    <col collapsed="false" customWidth="true" hidden="false" outlineLevel="0" max="8" min="6" style="0" width="15"/>
    <col collapsed="false" customWidth="true" hidden="false" outlineLevel="0" max="9" min="9" style="0" width="13"/>
    <col collapsed="false" customWidth="true" hidden="false" outlineLevel="0" max="10" min="10" style="0" width="15"/>
    <col collapsed="false" customWidth="true" hidden="false" outlineLevel="0" max="11" min="11" style="0" width="10"/>
    <col collapsed="false" customWidth="true" hidden="false" outlineLevel="0" max="12" min="12" style="0" width="14"/>
  </cols>
  <sheetData>
    <row r="1" customFormat="false" ht="22.05" hidden="false" customHeight="false" outlineLevel="0" collapsed="false">
      <c r="A1" s="1" t="s">
        <v>16</v>
      </c>
    </row>
    <row r="2" customFormat="false" ht="15" hidden="false" customHeight="false" outlineLevel="0" collapsed="false">
      <c r="A2" s="2" t="s">
        <v>17</v>
      </c>
    </row>
    <row r="4" customFormat="false" ht="45.75" hidden="false" customHeight="true" outlineLevel="0" collapsed="false">
      <c r="A4" s="5" t="s">
        <v>18</v>
      </c>
      <c r="B4" s="5" t="s">
        <v>19</v>
      </c>
      <c r="C4" s="5" t="s">
        <v>20</v>
      </c>
      <c r="D4" s="5" t="s">
        <v>21</v>
      </c>
      <c r="E4" s="5" t="s">
        <v>22</v>
      </c>
      <c r="F4" s="5" t="s">
        <v>23</v>
      </c>
      <c r="G4" s="5" t="s">
        <v>24</v>
      </c>
      <c r="H4" s="5" t="s">
        <v>25</v>
      </c>
      <c r="I4" s="5" t="s">
        <v>26</v>
      </c>
      <c r="J4" s="5" t="s">
        <v>27</v>
      </c>
      <c r="K4" s="5" t="s">
        <v>28</v>
      </c>
      <c r="L4" s="5" t="s">
        <v>29</v>
      </c>
    </row>
    <row r="5" customFormat="false" ht="15" hidden="false" customHeight="false" outlineLevel="0" collapsed="false">
      <c r="A5" s="6" t="s">
        <v>30</v>
      </c>
      <c r="B5" s="4" t="s">
        <v>31</v>
      </c>
      <c r="C5" s="7" t="n">
        <f aca="false">0.5*0.028349523/Assumptions!$B$6</f>
        <v>0.0141747615</v>
      </c>
      <c r="D5" s="8" t="n">
        <f aca="false">C5*Formulas!$F$13</f>
        <v>0.458193776185832</v>
      </c>
      <c r="E5" s="8" t="n">
        <f aca="false">C5*Formulas!$G$13</f>
        <v>0.458193776185832</v>
      </c>
      <c r="F5" s="8" t="n">
        <f aca="false">Packaging!$G$5</f>
        <v>1.064</v>
      </c>
      <c r="G5" s="9" t="n">
        <f aca="false">D5+F5</f>
        <v>1.52219377618583</v>
      </c>
      <c r="H5" s="9" t="n">
        <f aca="false">E5+F5</f>
        <v>1.52219377618583</v>
      </c>
      <c r="I5" s="10"/>
      <c r="J5" s="8" t="str">
        <f aca="false">IF(ISNUMBER(I5),I5-H5,"")</f>
        <v/>
      </c>
      <c r="K5" s="11" t="str">
        <f aca="false">IF(ISNUMBER(I5),(I5-H5)/I5,"")</f>
        <v/>
      </c>
      <c r="L5" s="12" t="n">
        <f aca="false">G5/0.5</f>
        <v>3.04438755237166</v>
      </c>
    </row>
    <row r="6" customFormat="false" ht="15" hidden="false" customHeight="false" outlineLevel="0" collapsed="false">
      <c r="A6" s="6" t="s">
        <v>30</v>
      </c>
      <c r="B6" s="4" t="s">
        <v>32</v>
      </c>
      <c r="C6" s="7" t="n">
        <f aca="false">1*0.028349523/Assumptions!$B$6</f>
        <v>0.028349523</v>
      </c>
      <c r="D6" s="8" t="n">
        <f aca="false">C6*Formulas!$F$13</f>
        <v>0.916387552371664</v>
      </c>
      <c r="E6" s="8" t="n">
        <f aca="false">C6*Formulas!$G$13</f>
        <v>0.916387552371664</v>
      </c>
      <c r="F6" s="8" t="n">
        <f aca="false">Packaging!$G$6</f>
        <v>1.064</v>
      </c>
      <c r="G6" s="9" t="n">
        <f aca="false">D6+F6</f>
        <v>1.98038755237166</v>
      </c>
      <c r="H6" s="9" t="n">
        <f aca="false">E6+F6</f>
        <v>1.98038755237166</v>
      </c>
      <c r="I6" s="10"/>
      <c r="J6" s="8" t="str">
        <f aca="false">IF(ISNUMBER(I6),I6-H6,"")</f>
        <v/>
      </c>
      <c r="K6" s="11" t="str">
        <f aca="false">IF(ISNUMBER(I6),(I6-H6)/I6,"")</f>
        <v/>
      </c>
      <c r="L6" s="12" t="n">
        <f aca="false">G6/1</f>
        <v>1.98038755237166</v>
      </c>
    </row>
    <row r="7" customFormat="false" ht="15" hidden="false" customHeight="false" outlineLevel="0" collapsed="false">
      <c r="A7" s="6" t="s">
        <v>30</v>
      </c>
      <c r="B7" s="4" t="s">
        <v>33</v>
      </c>
      <c r="C7" s="7" t="n">
        <f aca="false">2*0.028349523/Assumptions!$B$6</f>
        <v>0.056699046</v>
      </c>
      <c r="D7" s="8" t="n">
        <f aca="false">C7*Formulas!$F$13</f>
        <v>1.83277510474333</v>
      </c>
      <c r="E7" s="8" t="n">
        <f aca="false">C7*Formulas!$G$13</f>
        <v>1.83277510474333</v>
      </c>
      <c r="F7" s="8" t="n">
        <f aca="false">Packaging!$G$7</f>
        <v>1.214</v>
      </c>
      <c r="G7" s="9" t="n">
        <f aca="false">D7+F7</f>
        <v>3.04677510474333</v>
      </c>
      <c r="H7" s="9" t="n">
        <f aca="false">E7+F7</f>
        <v>3.04677510474333</v>
      </c>
      <c r="I7" s="10"/>
      <c r="J7" s="8" t="str">
        <f aca="false">IF(ISNUMBER(I7),I7-H7,"")</f>
        <v/>
      </c>
      <c r="K7" s="11" t="str">
        <f aca="false">IF(ISNUMBER(I7),(I7-H7)/I7,"")</f>
        <v/>
      </c>
      <c r="L7" s="12" t="n">
        <f aca="false">G7/2</f>
        <v>1.52338755237166</v>
      </c>
    </row>
    <row r="8" customFormat="false" ht="15" hidden="false" customHeight="false" outlineLevel="0" collapsed="false">
      <c r="A8" s="6" t="s">
        <v>30</v>
      </c>
      <c r="B8" s="4" t="s">
        <v>34</v>
      </c>
      <c r="C8" s="7" t="n">
        <f aca="false">4*0.028349523/Assumptions!$B$6</f>
        <v>0.113398092</v>
      </c>
      <c r="D8" s="8" t="n">
        <f aca="false">C8*Formulas!$F$13</f>
        <v>3.66555020948666</v>
      </c>
      <c r="E8" s="8" t="n">
        <f aca="false">C8*Formulas!$G$13</f>
        <v>3.66555020948666</v>
      </c>
      <c r="F8" s="8" t="n">
        <f aca="false">Packaging!$G$8</f>
        <v>1.234</v>
      </c>
      <c r="G8" s="9" t="n">
        <f aca="false">D8+F8</f>
        <v>4.89955020948666</v>
      </c>
      <c r="H8" s="9" t="n">
        <f aca="false">E8+F8</f>
        <v>4.89955020948666</v>
      </c>
      <c r="I8" s="10"/>
      <c r="J8" s="8" t="str">
        <f aca="false">IF(ISNUMBER(I8),I8-H8,"")</f>
        <v/>
      </c>
      <c r="K8" s="11" t="str">
        <f aca="false">IF(ISNUMBER(I8),(I8-H8)/I8,"")</f>
        <v/>
      </c>
      <c r="L8" s="12" t="n">
        <f aca="false">G8/4</f>
        <v>1.22488755237166</v>
      </c>
    </row>
    <row r="9" customFormat="false" ht="15" hidden="false" customHeight="false" outlineLevel="0" collapsed="false">
      <c r="A9" s="6" t="s">
        <v>30</v>
      </c>
      <c r="B9" s="4" t="s">
        <v>35</v>
      </c>
      <c r="C9" s="7" t="n">
        <f aca="false">16*0.028349523/Assumptions!$B$6</f>
        <v>0.453592368</v>
      </c>
      <c r="D9" s="8" t="n">
        <f aca="false">C9*Formulas!$F$13</f>
        <v>14.6622008379466</v>
      </c>
      <c r="E9" s="8" t="n">
        <f aca="false">C9*Formulas!$G$13</f>
        <v>14.6622008379466</v>
      </c>
      <c r="F9" s="8" t="n">
        <f aca="false">Packaging!$G$9</f>
        <v>1.294</v>
      </c>
      <c r="G9" s="9" t="n">
        <f aca="false">D9+F9</f>
        <v>15.9562008379466</v>
      </c>
      <c r="H9" s="9" t="n">
        <f aca="false">E9+F9</f>
        <v>15.9562008379466</v>
      </c>
      <c r="I9" s="10"/>
      <c r="J9" s="8" t="str">
        <f aca="false">IF(ISNUMBER(I9),I9-H9,"")</f>
        <v/>
      </c>
      <c r="K9" s="11" t="str">
        <f aca="false">IF(ISNUMBER(I9),(I9-H9)/I9,"")</f>
        <v/>
      </c>
      <c r="L9" s="12" t="n">
        <f aca="false">G9/16</f>
        <v>0.997262552371664</v>
      </c>
    </row>
    <row r="10" customFormat="false" ht="15" hidden="false" customHeight="false" outlineLevel="0" collapsed="false">
      <c r="A10" s="6" t="s">
        <v>30</v>
      </c>
      <c r="B10" s="4" t="s">
        <v>36</v>
      </c>
      <c r="C10" s="7" t="n">
        <f aca="false">5*0.45359237/Assumptions!$B$6</f>
        <v>2.26796185</v>
      </c>
      <c r="D10" s="8" t="n">
        <f aca="false">C10*Formulas!$F$13</f>
        <v>73.3110045129794</v>
      </c>
      <c r="E10" s="8" t="n">
        <f aca="false">C10*Formulas!$G$13</f>
        <v>73.3110045129794</v>
      </c>
      <c r="F10" s="8" t="n">
        <f aca="false">Packaging!$G$10</f>
        <v>4.864</v>
      </c>
      <c r="G10" s="9" t="n">
        <f aca="false">D10+F10</f>
        <v>78.1750045129794</v>
      </c>
      <c r="H10" s="9" t="n">
        <f aca="false">E10+F10</f>
        <v>78.1750045129794</v>
      </c>
      <c r="I10" s="10"/>
      <c r="J10" s="8" t="str">
        <f aca="false">IF(ISNUMBER(I10),I10-H10,"")</f>
        <v/>
      </c>
      <c r="K10" s="11" t="str">
        <f aca="false">IF(ISNUMBER(I10),(I10-H10)/I10,"")</f>
        <v/>
      </c>
      <c r="L10" s="12" t="n">
        <f aca="false">G10/80</f>
        <v>0.977187556412242</v>
      </c>
    </row>
    <row r="11" customFormat="false" ht="15" hidden="false" customHeight="false" outlineLevel="0" collapsed="false">
      <c r="A11" s="6" t="s">
        <v>30</v>
      </c>
      <c r="B11" s="4" t="s">
        <v>37</v>
      </c>
      <c r="C11" s="7" t="n">
        <f aca="false">25*0.45359237/Assumptions!$B$6</f>
        <v>11.33980925</v>
      </c>
      <c r="D11" s="8" t="n">
        <f aca="false">C11*Formulas!$F$13</f>
        <v>366.555022564897</v>
      </c>
      <c r="E11" s="8" t="n">
        <f aca="false">C11*Formulas!$G$13</f>
        <v>366.555022564897</v>
      </c>
      <c r="F11" s="8" t="n">
        <f aca="false">Packaging!$G$11</f>
        <v>13.514</v>
      </c>
      <c r="G11" s="9" t="n">
        <f aca="false">D11+F11</f>
        <v>380.069022564897</v>
      </c>
      <c r="H11" s="9" t="n">
        <f aca="false">E11+F11</f>
        <v>380.069022564897</v>
      </c>
      <c r="I11" s="10"/>
      <c r="J11" s="8" t="str">
        <f aca="false">IF(ISNUMBER(I11),I11-H11,"")</f>
        <v/>
      </c>
      <c r="K11" s="11" t="str">
        <f aca="false">IF(ISNUMBER(I11),(I11-H11)/I11,"")</f>
        <v/>
      </c>
      <c r="L11" s="12" t="n">
        <f aca="false">G11/400</f>
        <v>0.950172556412242</v>
      </c>
    </row>
    <row r="12" customFormat="false" ht="15" hidden="false" customHeight="false" outlineLevel="0" collapsed="false">
      <c r="A12" s="6" t="s">
        <v>30</v>
      </c>
      <c r="B12" s="4" t="s">
        <v>38</v>
      </c>
      <c r="C12" s="7" t="n">
        <f aca="false">100*0.45359237/Assumptions!$B$6</f>
        <v>45.359237</v>
      </c>
      <c r="D12" s="8" t="n">
        <f aca="false">C12*Formulas!$F$13</f>
        <v>1466.22009025959</v>
      </c>
      <c r="E12" s="8" t="n">
        <f aca="false">C12*Formulas!$G$13</f>
        <v>1466.22009025959</v>
      </c>
      <c r="F12" s="8" t="n">
        <f aca="false">Packaging!$G$12</f>
        <v>80.334</v>
      </c>
      <c r="G12" s="9" t="n">
        <f aca="false">D12+F12</f>
        <v>1546.55409025959</v>
      </c>
      <c r="H12" s="9" t="n">
        <f aca="false">E12+F12</f>
        <v>1546.55409025959</v>
      </c>
      <c r="I12" s="10"/>
      <c r="J12" s="8" t="str">
        <f aca="false">IF(ISNUMBER(I12),I12-H12,"")</f>
        <v/>
      </c>
      <c r="K12" s="11" t="str">
        <f aca="false">IF(ISNUMBER(I12),(I12-H12)/I12,"")</f>
        <v/>
      </c>
      <c r="L12" s="12" t="n">
        <f aca="false">G12/1600</f>
        <v>0.966596306412242</v>
      </c>
    </row>
    <row r="13" customFormat="false" ht="15" hidden="false" customHeight="false" outlineLevel="0" collapsed="false">
      <c r="A13" s="6" t="s">
        <v>30</v>
      </c>
      <c r="B13" s="4" t="s">
        <v>39</v>
      </c>
      <c r="C13" s="7" t="n">
        <f aca="false">400*0.45359237/Assumptions!$B$6</f>
        <v>181.436948</v>
      </c>
      <c r="D13" s="8" t="n">
        <f aca="false">C13*Formulas!$F$13</f>
        <v>5864.88036103835</v>
      </c>
      <c r="E13" s="8" t="n">
        <f aca="false">C13*Formulas!$G$13</f>
        <v>5864.88036103835</v>
      </c>
      <c r="F13" s="8" t="n">
        <f aca="false">Packaging!$G$13</f>
        <v>79.264</v>
      </c>
      <c r="G13" s="9" t="n">
        <f aca="false">D13+F13</f>
        <v>5944.14436103835</v>
      </c>
      <c r="H13" s="9" t="n">
        <f aca="false">E13+F13</f>
        <v>5944.14436103835</v>
      </c>
      <c r="I13" s="10"/>
      <c r="J13" s="8" t="str">
        <f aca="false">IF(ISNUMBER(I13),I13-H13,"")</f>
        <v/>
      </c>
      <c r="K13" s="11" t="str">
        <f aca="false">IF(ISNUMBER(I13),(I13-H13)/I13,"")</f>
        <v/>
      </c>
      <c r="L13" s="12" t="n">
        <f aca="false">G13/6400</f>
        <v>0.928772556412242</v>
      </c>
    </row>
    <row r="14" customFormat="false" ht="15" hidden="false" customHeight="false" outlineLevel="0" collapsed="false">
      <c r="A14" s="6" t="s">
        <v>40</v>
      </c>
      <c r="B14" s="4" t="s">
        <v>31</v>
      </c>
      <c r="C14" s="7" t="n">
        <f aca="false">0.5*0.028349523/Assumptions!$B$6</f>
        <v>0.0141747615</v>
      </c>
      <c r="D14" s="8" t="n">
        <f aca="false">C14*Formulas!$F$23</f>
        <v>0.14934387327133</v>
      </c>
      <c r="E14" s="8" t="n">
        <f aca="false">C14*Formulas!$G$23</f>
        <v>0.14934387327133</v>
      </c>
      <c r="F14" s="8" t="n">
        <f aca="false">Packaging!$G$5</f>
        <v>1.064</v>
      </c>
      <c r="G14" s="9" t="n">
        <f aca="false">D14+F14</f>
        <v>1.21334387327133</v>
      </c>
      <c r="H14" s="9" t="n">
        <f aca="false">E14+F14</f>
        <v>1.21334387327133</v>
      </c>
      <c r="I14" s="10"/>
      <c r="J14" s="8" t="str">
        <f aca="false">IF(ISNUMBER(I14),I14-H14,"")</f>
        <v/>
      </c>
      <c r="K14" s="11" t="str">
        <f aca="false">IF(ISNUMBER(I14),(I14-H14)/I14,"")</f>
        <v/>
      </c>
      <c r="L14" s="12" t="n">
        <f aca="false">G14/0.5</f>
        <v>2.42668774654266</v>
      </c>
    </row>
    <row r="15" customFormat="false" ht="15" hidden="false" customHeight="false" outlineLevel="0" collapsed="false">
      <c r="A15" s="6" t="s">
        <v>40</v>
      </c>
      <c r="B15" s="4" t="s">
        <v>32</v>
      </c>
      <c r="C15" s="7" t="n">
        <f aca="false">1*0.028349523/Assumptions!$B$6</f>
        <v>0.028349523</v>
      </c>
      <c r="D15" s="8" t="n">
        <f aca="false">C15*Formulas!$F$23</f>
        <v>0.298687746542659</v>
      </c>
      <c r="E15" s="8" t="n">
        <f aca="false">C15*Formulas!$G$23</f>
        <v>0.298687746542659</v>
      </c>
      <c r="F15" s="8" t="n">
        <f aca="false">Packaging!$G$6</f>
        <v>1.064</v>
      </c>
      <c r="G15" s="9" t="n">
        <f aca="false">D15+F15</f>
        <v>1.36268774654266</v>
      </c>
      <c r="H15" s="9" t="n">
        <f aca="false">E15+F15</f>
        <v>1.36268774654266</v>
      </c>
      <c r="I15" s="10"/>
      <c r="J15" s="8" t="str">
        <f aca="false">IF(ISNUMBER(I15),I15-H15,"")</f>
        <v/>
      </c>
      <c r="K15" s="11" t="str">
        <f aca="false">IF(ISNUMBER(I15),(I15-H15)/I15,"")</f>
        <v/>
      </c>
      <c r="L15" s="12" t="n">
        <f aca="false">G15/1</f>
        <v>1.36268774654266</v>
      </c>
    </row>
    <row r="16" customFormat="false" ht="15" hidden="false" customHeight="false" outlineLevel="0" collapsed="false">
      <c r="A16" s="6" t="s">
        <v>40</v>
      </c>
      <c r="B16" s="4" t="s">
        <v>33</v>
      </c>
      <c r="C16" s="7" t="n">
        <f aca="false">2*0.028349523/Assumptions!$B$6</f>
        <v>0.056699046</v>
      </c>
      <c r="D16" s="8" t="n">
        <f aca="false">C16*Formulas!$F$23</f>
        <v>0.597375493085318</v>
      </c>
      <c r="E16" s="8" t="n">
        <f aca="false">C16*Formulas!$G$23</f>
        <v>0.597375493085318</v>
      </c>
      <c r="F16" s="8" t="n">
        <f aca="false">Packaging!$G$7</f>
        <v>1.214</v>
      </c>
      <c r="G16" s="9" t="n">
        <f aca="false">D16+F16</f>
        <v>1.81137549308532</v>
      </c>
      <c r="H16" s="9" t="n">
        <f aca="false">E16+F16</f>
        <v>1.81137549308532</v>
      </c>
      <c r="I16" s="10"/>
      <c r="J16" s="8" t="str">
        <f aca="false">IF(ISNUMBER(I16),I16-H16,"")</f>
        <v/>
      </c>
      <c r="K16" s="11" t="str">
        <f aca="false">IF(ISNUMBER(I16),(I16-H16)/I16,"")</f>
        <v/>
      </c>
      <c r="L16" s="12" t="n">
        <f aca="false">G16/2</f>
        <v>0.905687746542659</v>
      </c>
    </row>
    <row r="17" customFormat="false" ht="15" hidden="false" customHeight="false" outlineLevel="0" collapsed="false">
      <c r="A17" s="6" t="s">
        <v>40</v>
      </c>
      <c r="B17" s="4" t="s">
        <v>34</v>
      </c>
      <c r="C17" s="7" t="n">
        <f aca="false">4*0.028349523/Assumptions!$B$6</f>
        <v>0.113398092</v>
      </c>
      <c r="D17" s="8" t="n">
        <f aca="false">C17*Formulas!$F$23</f>
        <v>1.19475098617064</v>
      </c>
      <c r="E17" s="8" t="n">
        <f aca="false">C17*Formulas!$G$23</f>
        <v>1.19475098617064</v>
      </c>
      <c r="F17" s="8" t="n">
        <f aca="false">Packaging!$G$8</f>
        <v>1.234</v>
      </c>
      <c r="G17" s="9" t="n">
        <f aca="false">D17+F17</f>
        <v>2.42875098617064</v>
      </c>
      <c r="H17" s="9" t="n">
        <f aca="false">E17+F17</f>
        <v>2.42875098617064</v>
      </c>
      <c r="I17" s="10"/>
      <c r="J17" s="8" t="str">
        <f aca="false">IF(ISNUMBER(I17),I17-H17,"")</f>
        <v/>
      </c>
      <c r="K17" s="11" t="str">
        <f aca="false">IF(ISNUMBER(I17),(I17-H17)/I17,"")</f>
        <v/>
      </c>
      <c r="L17" s="12" t="n">
        <f aca="false">G17/4</f>
        <v>0.607187746542659</v>
      </c>
    </row>
    <row r="18" customFormat="false" ht="15" hidden="false" customHeight="false" outlineLevel="0" collapsed="false">
      <c r="A18" s="6" t="s">
        <v>40</v>
      </c>
      <c r="B18" s="4" t="s">
        <v>35</v>
      </c>
      <c r="C18" s="7" t="n">
        <f aca="false">16*0.028349523/Assumptions!$B$6</f>
        <v>0.453592368</v>
      </c>
      <c r="D18" s="8" t="n">
        <f aca="false">C18*Formulas!$F$23</f>
        <v>4.77900394468255</v>
      </c>
      <c r="E18" s="8" t="n">
        <f aca="false">C18*Formulas!$G$23</f>
        <v>4.77900394468255</v>
      </c>
      <c r="F18" s="8" t="n">
        <f aca="false">Packaging!$G$9</f>
        <v>1.294</v>
      </c>
      <c r="G18" s="9" t="n">
        <f aca="false">D18+F18</f>
        <v>6.07300394468255</v>
      </c>
      <c r="H18" s="9" t="n">
        <f aca="false">E18+F18</f>
        <v>6.07300394468255</v>
      </c>
      <c r="I18" s="10"/>
      <c r="J18" s="8" t="str">
        <f aca="false">IF(ISNUMBER(I18),I18-H18,"")</f>
        <v/>
      </c>
      <c r="K18" s="11" t="str">
        <f aca="false">IF(ISNUMBER(I18),(I18-H18)/I18,"")</f>
        <v/>
      </c>
      <c r="L18" s="12" t="n">
        <f aca="false">G18/16</f>
        <v>0.379562746542659</v>
      </c>
    </row>
    <row r="19" customFormat="false" ht="15" hidden="false" customHeight="false" outlineLevel="0" collapsed="false">
      <c r="A19" s="6" t="s">
        <v>40</v>
      </c>
      <c r="B19" s="4" t="s">
        <v>36</v>
      </c>
      <c r="C19" s="7" t="n">
        <f aca="false">5*0.45359237/Assumptions!$B$6</f>
        <v>2.26796185</v>
      </c>
      <c r="D19" s="8" t="n">
        <f aca="false">C19*Formulas!$F$23</f>
        <v>23.8950198287717</v>
      </c>
      <c r="E19" s="8" t="n">
        <f aca="false">C19*Formulas!$G$23</f>
        <v>23.8950198287717</v>
      </c>
      <c r="F19" s="8" t="n">
        <f aca="false">Packaging!$G$10</f>
        <v>4.864</v>
      </c>
      <c r="G19" s="9" t="n">
        <f aca="false">D19+F19</f>
        <v>28.7590198287717</v>
      </c>
      <c r="H19" s="9" t="n">
        <f aca="false">E19+F19</f>
        <v>28.7590198287717</v>
      </c>
      <c r="I19" s="10"/>
      <c r="J19" s="8" t="str">
        <f aca="false">IF(ISNUMBER(I19),I19-H19,"")</f>
        <v/>
      </c>
      <c r="K19" s="11" t="str">
        <f aca="false">IF(ISNUMBER(I19),(I19-H19)/I19,"")</f>
        <v/>
      </c>
      <c r="L19" s="12" t="n">
        <f aca="false">G19/80</f>
        <v>0.359487747859647</v>
      </c>
    </row>
    <row r="20" customFormat="false" ht="15" hidden="false" customHeight="false" outlineLevel="0" collapsed="false">
      <c r="A20" s="6" t="s">
        <v>40</v>
      </c>
      <c r="B20" s="4" t="s">
        <v>37</v>
      </c>
      <c r="C20" s="7" t="n">
        <f aca="false">25*0.45359237/Assumptions!$B$6</f>
        <v>11.33980925</v>
      </c>
      <c r="D20" s="8" t="n">
        <f aca="false">C20*Formulas!$F$23</f>
        <v>119.475099143859</v>
      </c>
      <c r="E20" s="8" t="n">
        <f aca="false">C20*Formulas!$G$23</f>
        <v>119.475099143859</v>
      </c>
      <c r="F20" s="8" t="n">
        <f aca="false">Packaging!$G$11</f>
        <v>13.514</v>
      </c>
      <c r="G20" s="9" t="n">
        <f aca="false">D20+F20</f>
        <v>132.989099143859</v>
      </c>
      <c r="H20" s="9" t="n">
        <f aca="false">E20+F20</f>
        <v>132.989099143859</v>
      </c>
      <c r="I20" s="10"/>
      <c r="J20" s="8" t="str">
        <f aca="false">IF(ISNUMBER(I20),I20-H20,"")</f>
        <v/>
      </c>
      <c r="K20" s="11" t="str">
        <f aca="false">IF(ISNUMBER(I20),(I20-H20)/I20,"")</f>
        <v/>
      </c>
      <c r="L20" s="12" t="n">
        <f aca="false">G20/400</f>
        <v>0.332472747859647</v>
      </c>
    </row>
    <row r="21" customFormat="false" ht="15" hidden="false" customHeight="false" outlineLevel="0" collapsed="false">
      <c r="A21" s="6" t="s">
        <v>40</v>
      </c>
      <c r="B21" s="4" t="s">
        <v>38</v>
      </c>
      <c r="C21" s="7" t="n">
        <f aca="false">100*0.45359237/Assumptions!$B$6</f>
        <v>45.359237</v>
      </c>
      <c r="D21" s="8" t="n">
        <f aca="false">C21*Formulas!$F$23</f>
        <v>477.900396575435</v>
      </c>
      <c r="E21" s="8" t="n">
        <f aca="false">C21*Formulas!$G$23</f>
        <v>477.900396575435</v>
      </c>
      <c r="F21" s="8" t="n">
        <f aca="false">Packaging!$G$12</f>
        <v>80.334</v>
      </c>
      <c r="G21" s="9" t="n">
        <f aca="false">D21+F21</f>
        <v>558.234396575435</v>
      </c>
      <c r="H21" s="9" t="n">
        <f aca="false">E21+F21</f>
        <v>558.234396575435</v>
      </c>
      <c r="I21" s="10"/>
      <c r="J21" s="8" t="str">
        <f aca="false">IF(ISNUMBER(I21),I21-H21,"")</f>
        <v/>
      </c>
      <c r="K21" s="11" t="str">
        <f aca="false">IF(ISNUMBER(I21),(I21-H21)/I21,"")</f>
        <v/>
      </c>
      <c r="L21" s="12" t="n">
        <f aca="false">G21/1600</f>
        <v>0.348896497859647</v>
      </c>
    </row>
    <row r="22" customFormat="false" ht="15" hidden="false" customHeight="false" outlineLevel="0" collapsed="false">
      <c r="A22" s="6" t="s">
        <v>40</v>
      </c>
      <c r="B22" s="4" t="s">
        <v>39</v>
      </c>
      <c r="C22" s="7" t="n">
        <f aca="false">400*0.45359237/Assumptions!$B$6</f>
        <v>181.436948</v>
      </c>
      <c r="D22" s="8" t="n">
        <f aca="false">C22*Formulas!$F$23</f>
        <v>1911.60158630174</v>
      </c>
      <c r="E22" s="8" t="n">
        <f aca="false">C22*Formulas!$G$23</f>
        <v>1911.60158630174</v>
      </c>
      <c r="F22" s="8" t="n">
        <f aca="false">Packaging!$G$13</f>
        <v>79.264</v>
      </c>
      <c r="G22" s="9" t="n">
        <f aca="false">D22+F22</f>
        <v>1990.86558630174</v>
      </c>
      <c r="H22" s="9" t="n">
        <f aca="false">E22+F22</f>
        <v>1990.86558630174</v>
      </c>
      <c r="I22" s="10"/>
      <c r="J22" s="8" t="str">
        <f aca="false">IF(ISNUMBER(I22),I22-H22,"")</f>
        <v/>
      </c>
      <c r="K22" s="11" t="str">
        <f aca="false">IF(ISNUMBER(I22),(I22-H22)/I22,"")</f>
        <v/>
      </c>
      <c r="L22" s="12" t="n">
        <f aca="false">G22/6400</f>
        <v>0.311072747859647</v>
      </c>
    </row>
    <row r="23" customFormat="false" ht="15" hidden="false" customHeight="false" outlineLevel="0" collapsed="false">
      <c r="A23" s="6" t="s">
        <v>41</v>
      </c>
      <c r="B23" s="4" t="s">
        <v>31</v>
      </c>
      <c r="C23" s="7" t="n">
        <f aca="false">0.5*0.028349523/Assumptions!$B$6</f>
        <v>0.0141747615</v>
      </c>
      <c r="D23" s="8" t="n">
        <f aca="false">C23*Formulas!$F$35</f>
        <v>0.607906972940724</v>
      </c>
      <c r="E23" s="8" t="n">
        <f aca="false">C23*Formulas!$G$35</f>
        <v>0.607906972940724</v>
      </c>
      <c r="F23" s="8" t="n">
        <f aca="false">Packaging!$G$5</f>
        <v>1.064</v>
      </c>
      <c r="G23" s="9" t="n">
        <f aca="false">D23+F23</f>
        <v>1.67190697294072</v>
      </c>
      <c r="H23" s="9" t="n">
        <f aca="false">E23+F23</f>
        <v>1.67190697294072</v>
      </c>
      <c r="I23" s="10"/>
      <c r="J23" s="8" t="str">
        <f aca="false">IF(ISNUMBER(I23),I23-H23,"")</f>
        <v/>
      </c>
      <c r="K23" s="11" t="str">
        <f aca="false">IF(ISNUMBER(I23),(I23-H23)/I23,"")</f>
        <v/>
      </c>
      <c r="L23" s="12" t="n">
        <f aca="false">G23/0.5</f>
        <v>3.34381394588145</v>
      </c>
    </row>
    <row r="24" customFormat="false" ht="15" hidden="false" customHeight="false" outlineLevel="0" collapsed="false">
      <c r="A24" s="6" t="s">
        <v>41</v>
      </c>
      <c r="B24" s="4" t="s">
        <v>32</v>
      </c>
      <c r="C24" s="7" t="n">
        <f aca="false">1*0.028349523/Assumptions!$B$6</f>
        <v>0.028349523</v>
      </c>
      <c r="D24" s="8" t="n">
        <f aca="false">C24*Formulas!$F$35</f>
        <v>1.21581394588145</v>
      </c>
      <c r="E24" s="8" t="n">
        <f aca="false">C24*Formulas!$G$35</f>
        <v>1.21581394588145</v>
      </c>
      <c r="F24" s="8" t="n">
        <f aca="false">Packaging!$G$6</f>
        <v>1.064</v>
      </c>
      <c r="G24" s="9" t="n">
        <f aca="false">D24+F24</f>
        <v>2.27981394588145</v>
      </c>
      <c r="H24" s="9" t="n">
        <f aca="false">E24+F24</f>
        <v>2.27981394588145</v>
      </c>
      <c r="I24" s="10"/>
      <c r="J24" s="8" t="str">
        <f aca="false">IF(ISNUMBER(I24),I24-H24,"")</f>
        <v/>
      </c>
      <c r="K24" s="11" t="str">
        <f aca="false">IF(ISNUMBER(I24),(I24-H24)/I24,"")</f>
        <v/>
      </c>
      <c r="L24" s="12" t="n">
        <f aca="false">G24/1</f>
        <v>2.27981394588145</v>
      </c>
    </row>
    <row r="25" customFormat="false" ht="15" hidden="false" customHeight="false" outlineLevel="0" collapsed="false">
      <c r="A25" s="6" t="s">
        <v>41</v>
      </c>
      <c r="B25" s="4" t="s">
        <v>33</v>
      </c>
      <c r="C25" s="7" t="n">
        <f aca="false">2*0.028349523/Assumptions!$B$6</f>
        <v>0.056699046</v>
      </c>
      <c r="D25" s="8" t="n">
        <f aca="false">C25*Formulas!$F$35</f>
        <v>2.4316278917629</v>
      </c>
      <c r="E25" s="8" t="n">
        <f aca="false">C25*Formulas!$G$35</f>
        <v>2.4316278917629</v>
      </c>
      <c r="F25" s="8" t="n">
        <f aca="false">Packaging!$G$7</f>
        <v>1.214</v>
      </c>
      <c r="G25" s="9" t="n">
        <f aca="false">D25+F25</f>
        <v>3.6456278917629</v>
      </c>
      <c r="H25" s="9" t="n">
        <f aca="false">E25+F25</f>
        <v>3.6456278917629</v>
      </c>
      <c r="I25" s="10"/>
      <c r="J25" s="8" t="str">
        <f aca="false">IF(ISNUMBER(I25),I25-H25,"")</f>
        <v/>
      </c>
      <c r="K25" s="11" t="str">
        <f aca="false">IF(ISNUMBER(I25),(I25-H25)/I25,"")</f>
        <v/>
      </c>
      <c r="L25" s="12" t="n">
        <f aca="false">G25/2</f>
        <v>1.82281394588145</v>
      </c>
    </row>
    <row r="26" customFormat="false" ht="15" hidden="false" customHeight="false" outlineLevel="0" collapsed="false">
      <c r="A26" s="6" t="s">
        <v>41</v>
      </c>
      <c r="B26" s="4" t="s">
        <v>34</v>
      </c>
      <c r="C26" s="7" t="n">
        <f aca="false">4*0.028349523/Assumptions!$B$6</f>
        <v>0.113398092</v>
      </c>
      <c r="D26" s="8" t="n">
        <f aca="false">C26*Formulas!$F$35</f>
        <v>4.8632557835258</v>
      </c>
      <c r="E26" s="8" t="n">
        <f aca="false">C26*Formulas!$G$35</f>
        <v>4.8632557835258</v>
      </c>
      <c r="F26" s="8" t="n">
        <f aca="false">Packaging!$G$8</f>
        <v>1.234</v>
      </c>
      <c r="G26" s="9" t="n">
        <f aca="false">D26+F26</f>
        <v>6.0972557835258</v>
      </c>
      <c r="H26" s="9" t="n">
        <f aca="false">E26+F26</f>
        <v>6.0972557835258</v>
      </c>
      <c r="I26" s="10"/>
      <c r="J26" s="8" t="str">
        <f aca="false">IF(ISNUMBER(I26),I26-H26,"")</f>
        <v/>
      </c>
      <c r="K26" s="11" t="str">
        <f aca="false">IF(ISNUMBER(I26),(I26-H26)/I26,"")</f>
        <v/>
      </c>
      <c r="L26" s="12" t="n">
        <f aca="false">G26/4</f>
        <v>1.52431394588145</v>
      </c>
    </row>
    <row r="27" customFormat="false" ht="15" hidden="false" customHeight="false" outlineLevel="0" collapsed="false">
      <c r="A27" s="6" t="s">
        <v>41</v>
      </c>
      <c r="B27" s="4" t="s">
        <v>35</v>
      </c>
      <c r="C27" s="7" t="n">
        <f aca="false">16*0.028349523/Assumptions!$B$6</f>
        <v>0.453592368</v>
      </c>
      <c r="D27" s="8" t="n">
        <f aca="false">C27*Formulas!$F$35</f>
        <v>19.4530231341032</v>
      </c>
      <c r="E27" s="8" t="n">
        <f aca="false">C27*Formulas!$G$35</f>
        <v>19.4530231341032</v>
      </c>
      <c r="F27" s="8" t="n">
        <f aca="false">Packaging!$G$9</f>
        <v>1.294</v>
      </c>
      <c r="G27" s="9" t="n">
        <f aca="false">D27+F27</f>
        <v>20.7470231341032</v>
      </c>
      <c r="H27" s="9" t="n">
        <f aca="false">E27+F27</f>
        <v>20.7470231341032</v>
      </c>
      <c r="I27" s="10"/>
      <c r="J27" s="8" t="str">
        <f aca="false">IF(ISNUMBER(I27),I27-H27,"")</f>
        <v/>
      </c>
      <c r="K27" s="11" t="str">
        <f aca="false">IF(ISNUMBER(I27),(I27-H27)/I27,"")</f>
        <v/>
      </c>
      <c r="L27" s="12" t="n">
        <f aca="false">G27/16</f>
        <v>1.29668894588145</v>
      </c>
    </row>
    <row r="28" customFormat="false" ht="15" hidden="false" customHeight="false" outlineLevel="0" collapsed="false">
      <c r="A28" s="6" t="s">
        <v>41</v>
      </c>
      <c r="B28" s="4" t="s">
        <v>36</v>
      </c>
      <c r="C28" s="7" t="n">
        <f aca="false">5*0.45359237/Assumptions!$B$6</f>
        <v>2.26796185</v>
      </c>
      <c r="D28" s="8" t="n">
        <f aca="false">C28*Formulas!$F$35</f>
        <v>97.2651160993817</v>
      </c>
      <c r="E28" s="8" t="n">
        <f aca="false">C28*Formulas!$G$35</f>
        <v>97.2651160993817</v>
      </c>
      <c r="F28" s="8" t="n">
        <f aca="false">Packaging!$G$10</f>
        <v>4.864</v>
      </c>
      <c r="G28" s="9" t="n">
        <f aca="false">D28+F28</f>
        <v>102.129116099382</v>
      </c>
      <c r="H28" s="9" t="n">
        <f aca="false">E28+F28</f>
        <v>102.129116099382</v>
      </c>
      <c r="I28" s="10"/>
      <c r="J28" s="8" t="str">
        <f aca="false">IF(ISNUMBER(I28),I28-H28,"")</f>
        <v/>
      </c>
      <c r="K28" s="11" t="str">
        <f aca="false">IF(ISNUMBER(I28),(I28-H28)/I28,"")</f>
        <v/>
      </c>
      <c r="L28" s="12" t="n">
        <f aca="false">G28/80</f>
        <v>1.27661395124227</v>
      </c>
    </row>
    <row r="29" customFormat="false" ht="15" hidden="false" customHeight="false" outlineLevel="0" collapsed="false">
      <c r="A29" s="6" t="s">
        <v>41</v>
      </c>
      <c r="B29" s="4" t="s">
        <v>37</v>
      </c>
      <c r="C29" s="7" t="n">
        <f aca="false">25*0.45359237/Assumptions!$B$6</f>
        <v>11.33980925</v>
      </c>
      <c r="D29" s="8" t="n">
        <f aca="false">C29*Formulas!$F$35</f>
        <v>486.325580496908</v>
      </c>
      <c r="E29" s="8" t="n">
        <f aca="false">C29*Formulas!$G$35</f>
        <v>486.325580496908</v>
      </c>
      <c r="F29" s="8" t="n">
        <f aca="false">Packaging!$G$11</f>
        <v>13.514</v>
      </c>
      <c r="G29" s="9" t="n">
        <f aca="false">D29+F29</f>
        <v>499.839580496908</v>
      </c>
      <c r="H29" s="9" t="n">
        <f aca="false">E29+F29</f>
        <v>499.839580496908</v>
      </c>
      <c r="I29" s="10"/>
      <c r="J29" s="8" t="str">
        <f aca="false">IF(ISNUMBER(I29),I29-H29,"")</f>
        <v/>
      </c>
      <c r="K29" s="11" t="str">
        <f aca="false">IF(ISNUMBER(I29),(I29-H29)/I29,"")</f>
        <v/>
      </c>
      <c r="L29" s="12" t="n">
        <f aca="false">G29/400</f>
        <v>1.24959895124227</v>
      </c>
    </row>
    <row r="30" customFormat="false" ht="15" hidden="false" customHeight="false" outlineLevel="0" collapsed="false">
      <c r="A30" s="6" t="s">
        <v>41</v>
      </c>
      <c r="B30" s="4" t="s">
        <v>38</v>
      </c>
      <c r="C30" s="7" t="n">
        <f aca="false">100*0.45359237/Assumptions!$B$6</f>
        <v>45.359237</v>
      </c>
      <c r="D30" s="8" t="n">
        <f aca="false">C30*Formulas!$F$35</f>
        <v>1945.30232198763</v>
      </c>
      <c r="E30" s="8" t="n">
        <f aca="false">C30*Formulas!$G$35</f>
        <v>1945.30232198763</v>
      </c>
      <c r="F30" s="8" t="n">
        <f aca="false">Packaging!$G$12</f>
        <v>80.334</v>
      </c>
      <c r="G30" s="9" t="n">
        <f aca="false">D30+F30</f>
        <v>2025.63632198763</v>
      </c>
      <c r="H30" s="9" t="n">
        <f aca="false">E30+F30</f>
        <v>2025.63632198763</v>
      </c>
      <c r="I30" s="10"/>
      <c r="J30" s="8" t="str">
        <f aca="false">IF(ISNUMBER(I30),I30-H30,"")</f>
        <v/>
      </c>
      <c r="K30" s="11" t="str">
        <f aca="false">IF(ISNUMBER(I30),(I30-H30)/I30,"")</f>
        <v/>
      </c>
      <c r="L30" s="12" t="n">
        <f aca="false">G30/1600</f>
        <v>1.26602270124227</v>
      </c>
    </row>
    <row r="31" customFormat="false" ht="15" hidden="false" customHeight="false" outlineLevel="0" collapsed="false">
      <c r="A31" s="6" t="s">
        <v>41</v>
      </c>
      <c r="B31" s="4" t="s">
        <v>39</v>
      </c>
      <c r="C31" s="7" t="n">
        <f aca="false">400*0.45359237/Assumptions!$B$6</f>
        <v>181.436948</v>
      </c>
      <c r="D31" s="8" t="n">
        <f aca="false">C31*Formulas!$F$35</f>
        <v>7781.20928795053</v>
      </c>
      <c r="E31" s="8" t="n">
        <f aca="false">C31*Formulas!$G$35</f>
        <v>7781.20928795053</v>
      </c>
      <c r="F31" s="8" t="n">
        <f aca="false">Packaging!$G$13</f>
        <v>79.264</v>
      </c>
      <c r="G31" s="9" t="n">
        <f aca="false">D31+F31</f>
        <v>7860.47328795053</v>
      </c>
      <c r="H31" s="9" t="n">
        <f aca="false">E31+F31</f>
        <v>7860.47328795053</v>
      </c>
      <c r="I31" s="10"/>
      <c r="J31" s="8" t="str">
        <f aca="false">IF(ISNUMBER(I31),I31-H31,"")</f>
        <v/>
      </c>
      <c r="K31" s="11" t="str">
        <f aca="false">IF(ISNUMBER(I31),(I31-H31)/I31,"")</f>
        <v/>
      </c>
      <c r="L31" s="12" t="n">
        <f aca="false">G31/6400</f>
        <v>1.22819895124227</v>
      </c>
    </row>
    <row r="32" customFormat="false" ht="15" hidden="false" customHeight="false" outlineLevel="0" collapsed="false">
      <c r="A32" s="6" t="s">
        <v>42</v>
      </c>
      <c r="B32" s="4" t="s">
        <v>31</v>
      </c>
      <c r="C32" s="7" t="n">
        <f aca="false">0.5*0.028349523/Assumptions!$B$6</f>
        <v>0.0141747615</v>
      </c>
      <c r="D32" s="8" t="n">
        <f aca="false">C32*Formulas!$F$49</f>
        <v>0.637614325533477</v>
      </c>
      <c r="E32" s="8" t="n">
        <f aca="false">C32*Formulas!$G$49</f>
        <v>0.637614325533477</v>
      </c>
      <c r="F32" s="8" t="n">
        <f aca="false">Packaging!$G$5</f>
        <v>1.064</v>
      </c>
      <c r="G32" s="9" t="n">
        <f aca="false">D32+F32</f>
        <v>1.70161432553348</v>
      </c>
      <c r="H32" s="9" t="n">
        <f aca="false">E32+F32</f>
        <v>1.70161432553348</v>
      </c>
      <c r="I32" s="10"/>
      <c r="J32" s="8" t="str">
        <f aca="false">IF(ISNUMBER(I32),I32-H32,"")</f>
        <v/>
      </c>
      <c r="K32" s="11" t="str">
        <f aca="false">IF(ISNUMBER(I32),(I32-H32)/I32,"")</f>
        <v/>
      </c>
      <c r="L32" s="12" t="n">
        <f aca="false">G32/0.5</f>
        <v>3.40322865106695</v>
      </c>
    </row>
    <row r="33" customFormat="false" ht="15" hidden="false" customHeight="false" outlineLevel="0" collapsed="false">
      <c r="A33" s="6" t="s">
        <v>42</v>
      </c>
      <c r="B33" s="4" t="s">
        <v>32</v>
      </c>
      <c r="C33" s="7" t="n">
        <f aca="false">1*0.028349523/Assumptions!$B$6</f>
        <v>0.028349523</v>
      </c>
      <c r="D33" s="8" t="n">
        <f aca="false">C33*Formulas!$F$49</f>
        <v>1.27522865106695</v>
      </c>
      <c r="E33" s="8" t="n">
        <f aca="false">C33*Formulas!$G$49</f>
        <v>1.27522865106695</v>
      </c>
      <c r="F33" s="8" t="n">
        <f aca="false">Packaging!$G$6</f>
        <v>1.064</v>
      </c>
      <c r="G33" s="9" t="n">
        <f aca="false">D33+F33</f>
        <v>2.33922865106695</v>
      </c>
      <c r="H33" s="9" t="n">
        <f aca="false">E33+F33</f>
        <v>2.33922865106695</v>
      </c>
      <c r="I33" s="10"/>
      <c r="J33" s="8" t="str">
        <f aca="false">IF(ISNUMBER(I33),I33-H33,"")</f>
        <v/>
      </c>
      <c r="K33" s="11" t="str">
        <f aca="false">IF(ISNUMBER(I33),(I33-H33)/I33,"")</f>
        <v/>
      </c>
      <c r="L33" s="12" t="n">
        <f aca="false">G33/1</f>
        <v>2.33922865106695</v>
      </c>
    </row>
    <row r="34" customFormat="false" ht="15" hidden="false" customHeight="false" outlineLevel="0" collapsed="false">
      <c r="A34" s="6" t="s">
        <v>42</v>
      </c>
      <c r="B34" s="4" t="s">
        <v>33</v>
      </c>
      <c r="C34" s="7" t="n">
        <f aca="false">2*0.028349523/Assumptions!$B$6</f>
        <v>0.056699046</v>
      </c>
      <c r="D34" s="8" t="n">
        <f aca="false">C34*Formulas!$F$49</f>
        <v>2.55045730213391</v>
      </c>
      <c r="E34" s="8" t="n">
        <f aca="false">C34*Formulas!$G$49</f>
        <v>2.55045730213391</v>
      </c>
      <c r="F34" s="8" t="n">
        <f aca="false">Packaging!$G$7</f>
        <v>1.214</v>
      </c>
      <c r="G34" s="9" t="n">
        <f aca="false">D34+F34</f>
        <v>3.76445730213391</v>
      </c>
      <c r="H34" s="9" t="n">
        <f aca="false">E34+F34</f>
        <v>3.76445730213391</v>
      </c>
      <c r="I34" s="10"/>
      <c r="J34" s="8" t="str">
        <f aca="false">IF(ISNUMBER(I34),I34-H34,"")</f>
        <v/>
      </c>
      <c r="K34" s="11" t="str">
        <f aca="false">IF(ISNUMBER(I34),(I34-H34)/I34,"")</f>
        <v/>
      </c>
      <c r="L34" s="12" t="n">
        <f aca="false">G34/2</f>
        <v>1.88222865106695</v>
      </c>
    </row>
    <row r="35" customFormat="false" ht="15" hidden="false" customHeight="false" outlineLevel="0" collapsed="false">
      <c r="A35" s="6" t="s">
        <v>42</v>
      </c>
      <c r="B35" s="4" t="s">
        <v>34</v>
      </c>
      <c r="C35" s="7" t="n">
        <f aca="false">4*0.028349523/Assumptions!$B$6</f>
        <v>0.113398092</v>
      </c>
      <c r="D35" s="8" t="n">
        <f aca="false">C35*Formulas!$F$49</f>
        <v>5.10091460426782</v>
      </c>
      <c r="E35" s="8" t="n">
        <f aca="false">C35*Formulas!$G$49</f>
        <v>5.10091460426782</v>
      </c>
      <c r="F35" s="8" t="n">
        <f aca="false">Packaging!$G$8</f>
        <v>1.234</v>
      </c>
      <c r="G35" s="9" t="n">
        <f aca="false">D35+F35</f>
        <v>6.33491460426782</v>
      </c>
      <c r="H35" s="9" t="n">
        <f aca="false">E35+F35</f>
        <v>6.33491460426782</v>
      </c>
      <c r="I35" s="10"/>
      <c r="J35" s="8" t="str">
        <f aca="false">IF(ISNUMBER(I35),I35-H35,"")</f>
        <v/>
      </c>
      <c r="K35" s="11" t="str">
        <f aca="false">IF(ISNUMBER(I35),(I35-H35)/I35,"")</f>
        <v/>
      </c>
      <c r="L35" s="12" t="n">
        <f aca="false">G35/4</f>
        <v>1.58372865106695</v>
      </c>
    </row>
    <row r="36" customFormat="false" ht="15" hidden="false" customHeight="false" outlineLevel="0" collapsed="false">
      <c r="A36" s="6" t="s">
        <v>42</v>
      </c>
      <c r="B36" s="4" t="s">
        <v>35</v>
      </c>
      <c r="C36" s="7" t="n">
        <f aca="false">16*0.028349523/Assumptions!$B$6</f>
        <v>0.453592368</v>
      </c>
      <c r="D36" s="8" t="n">
        <f aca="false">C36*Formulas!$F$49</f>
        <v>20.4036584170713</v>
      </c>
      <c r="E36" s="8" t="n">
        <f aca="false">C36*Formulas!$G$49</f>
        <v>20.4036584170713</v>
      </c>
      <c r="F36" s="8" t="n">
        <f aca="false">Packaging!$G$9</f>
        <v>1.294</v>
      </c>
      <c r="G36" s="9" t="n">
        <f aca="false">D36+F36</f>
        <v>21.6976584170713</v>
      </c>
      <c r="H36" s="9" t="n">
        <f aca="false">E36+F36</f>
        <v>21.6976584170713</v>
      </c>
      <c r="I36" s="10"/>
      <c r="J36" s="8" t="str">
        <f aca="false">IF(ISNUMBER(I36),I36-H36,"")</f>
        <v/>
      </c>
      <c r="K36" s="11" t="str">
        <f aca="false">IF(ISNUMBER(I36),(I36-H36)/I36,"")</f>
        <v/>
      </c>
      <c r="L36" s="12" t="n">
        <f aca="false">G36/16</f>
        <v>1.35610365106695</v>
      </c>
    </row>
    <row r="37" customFormat="false" ht="15" hidden="false" customHeight="false" outlineLevel="0" collapsed="false">
      <c r="A37" s="6" t="s">
        <v>42</v>
      </c>
      <c r="B37" s="4" t="s">
        <v>36</v>
      </c>
      <c r="C37" s="7" t="n">
        <f aca="false">5*0.45359237/Assumptions!$B$6</f>
        <v>2.26796185</v>
      </c>
      <c r="D37" s="8" t="n">
        <f aca="false">C37*Formulas!$F$49</f>
        <v>102.01829253518</v>
      </c>
      <c r="E37" s="8" t="n">
        <f aca="false">C37*Formulas!$G$49</f>
        <v>102.01829253518</v>
      </c>
      <c r="F37" s="8" t="n">
        <f aca="false">Packaging!$G$10</f>
        <v>4.864</v>
      </c>
      <c r="G37" s="9" t="n">
        <f aca="false">D37+F37</f>
        <v>106.88229253518</v>
      </c>
      <c r="H37" s="9" t="n">
        <f aca="false">E37+F37</f>
        <v>106.88229253518</v>
      </c>
      <c r="I37" s="10"/>
      <c r="J37" s="8" t="str">
        <f aca="false">IF(ISNUMBER(I37),I37-H37,"")</f>
        <v/>
      </c>
      <c r="K37" s="11" t="str">
        <f aca="false">IF(ISNUMBER(I37),(I37-H37)/I37,"")</f>
        <v/>
      </c>
      <c r="L37" s="12" t="n">
        <f aca="false">G37/80</f>
        <v>1.33602865668975</v>
      </c>
    </row>
    <row r="38" customFormat="false" ht="15" hidden="false" customHeight="false" outlineLevel="0" collapsed="false">
      <c r="A38" s="6" t="s">
        <v>42</v>
      </c>
      <c r="B38" s="4" t="s">
        <v>37</v>
      </c>
      <c r="C38" s="7" t="n">
        <f aca="false">25*0.45359237/Assumptions!$B$6</f>
        <v>11.33980925</v>
      </c>
      <c r="D38" s="8" t="n">
        <f aca="false">C38*Formulas!$F$49</f>
        <v>510.0914626759</v>
      </c>
      <c r="E38" s="8" t="n">
        <f aca="false">C38*Formulas!$G$49</f>
        <v>510.0914626759</v>
      </c>
      <c r="F38" s="8" t="n">
        <f aca="false">Packaging!$G$11</f>
        <v>13.514</v>
      </c>
      <c r="G38" s="9" t="n">
        <f aca="false">D38+F38</f>
        <v>523.6054626759</v>
      </c>
      <c r="H38" s="9" t="n">
        <f aca="false">E38+F38</f>
        <v>523.6054626759</v>
      </c>
      <c r="I38" s="10"/>
      <c r="J38" s="8" t="str">
        <f aca="false">IF(ISNUMBER(I38),I38-H38,"")</f>
        <v/>
      </c>
      <c r="K38" s="11" t="str">
        <f aca="false">IF(ISNUMBER(I38),(I38-H38)/I38,"")</f>
        <v/>
      </c>
      <c r="L38" s="12" t="n">
        <f aca="false">G38/400</f>
        <v>1.30901365668975</v>
      </c>
    </row>
    <row r="39" customFormat="false" ht="15" hidden="false" customHeight="false" outlineLevel="0" collapsed="false">
      <c r="A39" s="6" t="s">
        <v>42</v>
      </c>
      <c r="B39" s="4" t="s">
        <v>38</v>
      </c>
      <c r="C39" s="7" t="n">
        <f aca="false">100*0.45359237/Assumptions!$B$6</f>
        <v>45.359237</v>
      </c>
      <c r="D39" s="8" t="n">
        <f aca="false">C39*Formulas!$F$49</f>
        <v>2040.3658507036</v>
      </c>
      <c r="E39" s="8" t="n">
        <f aca="false">C39*Formulas!$G$49</f>
        <v>2040.3658507036</v>
      </c>
      <c r="F39" s="8" t="n">
        <f aca="false">Packaging!$G$12</f>
        <v>80.334</v>
      </c>
      <c r="G39" s="9" t="n">
        <f aca="false">D39+F39</f>
        <v>2120.6998507036</v>
      </c>
      <c r="H39" s="9" t="n">
        <f aca="false">E39+F39</f>
        <v>2120.6998507036</v>
      </c>
      <c r="I39" s="10"/>
      <c r="J39" s="8" t="str">
        <f aca="false">IF(ISNUMBER(I39),I39-H39,"")</f>
        <v/>
      </c>
      <c r="K39" s="11" t="str">
        <f aca="false">IF(ISNUMBER(I39),(I39-H39)/I39,"")</f>
        <v/>
      </c>
      <c r="L39" s="12" t="n">
        <f aca="false">G39/1600</f>
        <v>1.32543740668975</v>
      </c>
    </row>
    <row r="40" customFormat="false" ht="15" hidden="false" customHeight="false" outlineLevel="0" collapsed="false">
      <c r="A40" s="6" t="s">
        <v>42</v>
      </c>
      <c r="B40" s="4" t="s">
        <v>39</v>
      </c>
      <c r="C40" s="7" t="n">
        <f aca="false">400*0.45359237/Assumptions!$B$6</f>
        <v>181.436948</v>
      </c>
      <c r="D40" s="8" t="n">
        <f aca="false">C40*Formulas!$F$49</f>
        <v>8161.4634028144</v>
      </c>
      <c r="E40" s="8" t="n">
        <f aca="false">C40*Formulas!$G$49</f>
        <v>8161.4634028144</v>
      </c>
      <c r="F40" s="8" t="n">
        <f aca="false">Packaging!$G$13</f>
        <v>79.264</v>
      </c>
      <c r="G40" s="9" t="n">
        <f aca="false">D40+F40</f>
        <v>8240.7274028144</v>
      </c>
      <c r="H40" s="9" t="n">
        <f aca="false">E40+F40</f>
        <v>8240.7274028144</v>
      </c>
      <c r="I40" s="10"/>
      <c r="J40" s="8" t="str">
        <f aca="false">IF(ISNUMBER(I40),I40-H40,"")</f>
        <v/>
      </c>
      <c r="K40" s="11" t="str">
        <f aca="false">IF(ISNUMBER(I40),(I40-H40)/I40,"")</f>
        <v/>
      </c>
      <c r="L40" s="12" t="n">
        <f aca="false">G40/6400</f>
        <v>1.28761365668975</v>
      </c>
    </row>
    <row r="41" customFormat="false" ht="15" hidden="false" customHeight="false" outlineLevel="0" collapsed="false">
      <c r="A41" s="6" t="s">
        <v>43</v>
      </c>
      <c r="B41" s="4" t="s">
        <v>31</v>
      </c>
      <c r="C41" s="7" t="n">
        <f aca="false">0.5*0.028349523/Assumptions!$B$6</f>
        <v>0.0141747615</v>
      </c>
      <c r="D41" s="8" t="n">
        <f aca="false">C41*Formulas!$F$59</f>
        <v>0.157249116212564</v>
      </c>
      <c r="E41" s="8" t="n">
        <f aca="false">C41*Formulas!$G$59</f>
        <v>0.157249116212564</v>
      </c>
      <c r="F41" s="8" t="n">
        <f aca="false">Packaging!$G$5</f>
        <v>1.064</v>
      </c>
      <c r="G41" s="9" t="n">
        <f aca="false">D41+F41</f>
        <v>1.22124911621256</v>
      </c>
      <c r="H41" s="9" t="n">
        <f aca="false">E41+F41</f>
        <v>1.22124911621256</v>
      </c>
      <c r="I41" s="10"/>
      <c r="J41" s="8" t="str">
        <f aca="false">IF(ISNUMBER(I41),I41-H41,"")</f>
        <v/>
      </c>
      <c r="K41" s="11" t="str">
        <f aca="false">IF(ISNUMBER(I41),(I41-H41)/I41,"")</f>
        <v/>
      </c>
      <c r="L41" s="12" t="n">
        <f aca="false">G41/0.5</f>
        <v>2.44249823242513</v>
      </c>
    </row>
    <row r="42" customFormat="false" ht="15" hidden="false" customHeight="false" outlineLevel="0" collapsed="false">
      <c r="A42" s="6" t="s">
        <v>43</v>
      </c>
      <c r="B42" s="4" t="s">
        <v>32</v>
      </c>
      <c r="C42" s="7" t="n">
        <f aca="false">1*0.028349523/Assumptions!$B$6</f>
        <v>0.028349523</v>
      </c>
      <c r="D42" s="8" t="n">
        <f aca="false">C42*Formulas!$F$59</f>
        <v>0.314498232425128</v>
      </c>
      <c r="E42" s="8" t="n">
        <f aca="false">C42*Formulas!$G$59</f>
        <v>0.314498232425128</v>
      </c>
      <c r="F42" s="8" t="n">
        <f aca="false">Packaging!$G$6</f>
        <v>1.064</v>
      </c>
      <c r="G42" s="9" t="n">
        <f aca="false">D42+F42</f>
        <v>1.37849823242513</v>
      </c>
      <c r="H42" s="9" t="n">
        <f aca="false">E42+F42</f>
        <v>1.37849823242513</v>
      </c>
      <c r="I42" s="10"/>
      <c r="J42" s="8" t="str">
        <f aca="false">IF(ISNUMBER(I42),I42-H42,"")</f>
        <v/>
      </c>
      <c r="K42" s="11" t="str">
        <f aca="false">IF(ISNUMBER(I42),(I42-H42)/I42,"")</f>
        <v/>
      </c>
      <c r="L42" s="12" t="n">
        <f aca="false">G42/1</f>
        <v>1.37849823242513</v>
      </c>
    </row>
    <row r="43" customFormat="false" ht="15" hidden="false" customHeight="false" outlineLevel="0" collapsed="false">
      <c r="A43" s="6" t="s">
        <v>43</v>
      </c>
      <c r="B43" s="4" t="s">
        <v>33</v>
      </c>
      <c r="C43" s="7" t="n">
        <f aca="false">2*0.028349523/Assumptions!$B$6</f>
        <v>0.056699046</v>
      </c>
      <c r="D43" s="8" t="n">
        <f aca="false">C43*Formulas!$F$59</f>
        <v>0.628996464850256</v>
      </c>
      <c r="E43" s="8" t="n">
        <f aca="false">C43*Formulas!$G$59</f>
        <v>0.628996464850256</v>
      </c>
      <c r="F43" s="8" t="n">
        <f aca="false">Packaging!$G$7</f>
        <v>1.214</v>
      </c>
      <c r="G43" s="9" t="n">
        <f aca="false">D43+F43</f>
        <v>1.84299646485026</v>
      </c>
      <c r="H43" s="9" t="n">
        <f aca="false">E43+F43</f>
        <v>1.84299646485026</v>
      </c>
      <c r="I43" s="10"/>
      <c r="J43" s="8" t="str">
        <f aca="false">IF(ISNUMBER(I43),I43-H43,"")</f>
        <v/>
      </c>
      <c r="K43" s="11" t="str">
        <f aca="false">IF(ISNUMBER(I43),(I43-H43)/I43,"")</f>
        <v/>
      </c>
      <c r="L43" s="12" t="n">
        <f aca="false">G43/2</f>
        <v>0.921498232425128</v>
      </c>
    </row>
    <row r="44" customFormat="false" ht="15" hidden="false" customHeight="false" outlineLevel="0" collapsed="false">
      <c r="A44" s="6" t="s">
        <v>43</v>
      </c>
      <c r="B44" s="4" t="s">
        <v>34</v>
      </c>
      <c r="C44" s="7" t="n">
        <f aca="false">4*0.028349523/Assumptions!$B$6</f>
        <v>0.113398092</v>
      </c>
      <c r="D44" s="8" t="n">
        <f aca="false">C44*Formulas!$F$59</f>
        <v>1.25799292970051</v>
      </c>
      <c r="E44" s="8" t="n">
        <f aca="false">C44*Formulas!$G$59</f>
        <v>1.25799292970051</v>
      </c>
      <c r="F44" s="8" t="n">
        <f aca="false">Packaging!$G$8</f>
        <v>1.234</v>
      </c>
      <c r="G44" s="9" t="n">
        <f aca="false">D44+F44</f>
        <v>2.49199292970051</v>
      </c>
      <c r="H44" s="9" t="n">
        <f aca="false">E44+F44</f>
        <v>2.49199292970051</v>
      </c>
      <c r="I44" s="10"/>
      <c r="J44" s="8" t="str">
        <f aca="false">IF(ISNUMBER(I44),I44-H44,"")</f>
        <v/>
      </c>
      <c r="K44" s="11" t="str">
        <f aca="false">IF(ISNUMBER(I44),(I44-H44)/I44,"")</f>
        <v/>
      </c>
      <c r="L44" s="12" t="n">
        <f aca="false">G44/4</f>
        <v>0.622998232425128</v>
      </c>
    </row>
    <row r="45" customFormat="false" ht="15" hidden="false" customHeight="false" outlineLevel="0" collapsed="false">
      <c r="A45" s="6" t="s">
        <v>43</v>
      </c>
      <c r="B45" s="4" t="s">
        <v>35</v>
      </c>
      <c r="C45" s="7" t="n">
        <f aca="false">16*0.028349523/Assumptions!$B$6</f>
        <v>0.453592368</v>
      </c>
      <c r="D45" s="8" t="n">
        <f aca="false">C45*Formulas!$F$59</f>
        <v>5.03197171880205</v>
      </c>
      <c r="E45" s="8" t="n">
        <f aca="false">C45*Formulas!$G$59</f>
        <v>5.03197171880205</v>
      </c>
      <c r="F45" s="8" t="n">
        <f aca="false">Packaging!$G$9</f>
        <v>1.294</v>
      </c>
      <c r="G45" s="9" t="n">
        <f aca="false">D45+F45</f>
        <v>6.32597171880205</v>
      </c>
      <c r="H45" s="9" t="n">
        <f aca="false">E45+F45</f>
        <v>6.32597171880205</v>
      </c>
      <c r="I45" s="10"/>
      <c r="J45" s="8" t="str">
        <f aca="false">IF(ISNUMBER(I45),I45-H45,"")</f>
        <v/>
      </c>
      <c r="K45" s="11" t="str">
        <f aca="false">IF(ISNUMBER(I45),(I45-H45)/I45,"")</f>
        <v/>
      </c>
      <c r="L45" s="12" t="n">
        <f aca="false">G45/16</f>
        <v>0.395373232425128</v>
      </c>
    </row>
    <row r="46" customFormat="false" ht="15" hidden="false" customHeight="false" outlineLevel="0" collapsed="false">
      <c r="A46" s="6" t="s">
        <v>43</v>
      </c>
      <c r="B46" s="4" t="s">
        <v>36</v>
      </c>
      <c r="C46" s="7" t="n">
        <f aca="false">5*0.45359237/Assumptions!$B$6</f>
        <v>2.26796185</v>
      </c>
      <c r="D46" s="8" t="n">
        <f aca="false">C46*Formulas!$F$59</f>
        <v>25.1598587049462</v>
      </c>
      <c r="E46" s="8" t="n">
        <f aca="false">C46*Formulas!$G$59</f>
        <v>25.1598587049462</v>
      </c>
      <c r="F46" s="8" t="n">
        <f aca="false">Packaging!$G$10</f>
        <v>4.864</v>
      </c>
      <c r="G46" s="9" t="n">
        <f aca="false">D46+F46</f>
        <v>30.0238587049462</v>
      </c>
      <c r="H46" s="9" t="n">
        <f aca="false">E46+F46</f>
        <v>30.0238587049462</v>
      </c>
      <c r="I46" s="10"/>
      <c r="J46" s="8" t="str">
        <f aca="false">IF(ISNUMBER(I46),I46-H46,"")</f>
        <v/>
      </c>
      <c r="K46" s="11" t="str">
        <f aca="false">IF(ISNUMBER(I46),(I46-H46)/I46,"")</f>
        <v/>
      </c>
      <c r="L46" s="12" t="n">
        <f aca="false">G46/80</f>
        <v>0.375298233811828</v>
      </c>
    </row>
    <row r="47" customFormat="false" ht="15" hidden="false" customHeight="false" outlineLevel="0" collapsed="false">
      <c r="A47" s="6" t="s">
        <v>43</v>
      </c>
      <c r="B47" s="4" t="s">
        <v>37</v>
      </c>
      <c r="C47" s="7" t="n">
        <f aca="false">25*0.45359237/Assumptions!$B$6</f>
        <v>11.33980925</v>
      </c>
      <c r="D47" s="8" t="n">
        <f aca="false">C47*Formulas!$F$59</f>
        <v>125.799293524731</v>
      </c>
      <c r="E47" s="8" t="n">
        <f aca="false">C47*Formulas!$G$59</f>
        <v>125.799293524731</v>
      </c>
      <c r="F47" s="8" t="n">
        <f aca="false">Packaging!$G$11</f>
        <v>13.514</v>
      </c>
      <c r="G47" s="9" t="n">
        <f aca="false">D47+F47</f>
        <v>139.313293524731</v>
      </c>
      <c r="H47" s="9" t="n">
        <f aca="false">E47+F47</f>
        <v>139.313293524731</v>
      </c>
      <c r="I47" s="10"/>
      <c r="J47" s="8" t="str">
        <f aca="false">IF(ISNUMBER(I47),I47-H47,"")</f>
        <v/>
      </c>
      <c r="K47" s="11" t="str">
        <f aca="false">IF(ISNUMBER(I47),(I47-H47)/I47,"")</f>
        <v/>
      </c>
      <c r="L47" s="12" t="n">
        <f aca="false">G47/400</f>
        <v>0.348283233811828</v>
      </c>
    </row>
    <row r="48" customFormat="false" ht="15" hidden="false" customHeight="false" outlineLevel="0" collapsed="false">
      <c r="A48" s="6" t="s">
        <v>43</v>
      </c>
      <c r="B48" s="4" t="s">
        <v>38</v>
      </c>
      <c r="C48" s="7" t="n">
        <f aca="false">100*0.45359237/Assumptions!$B$6</f>
        <v>45.359237</v>
      </c>
      <c r="D48" s="8" t="n">
        <f aca="false">C48*Formulas!$F$59</f>
        <v>503.197174098925</v>
      </c>
      <c r="E48" s="8" t="n">
        <f aca="false">C48*Formulas!$G$59</f>
        <v>503.197174098925</v>
      </c>
      <c r="F48" s="8" t="n">
        <f aca="false">Packaging!$G$12</f>
        <v>80.334</v>
      </c>
      <c r="G48" s="9" t="n">
        <f aca="false">D48+F48</f>
        <v>583.531174098925</v>
      </c>
      <c r="H48" s="9" t="n">
        <f aca="false">E48+F48</f>
        <v>583.531174098925</v>
      </c>
      <c r="I48" s="10"/>
      <c r="J48" s="8" t="str">
        <f aca="false">IF(ISNUMBER(I48),I48-H48,"")</f>
        <v/>
      </c>
      <c r="K48" s="11" t="str">
        <f aca="false">IF(ISNUMBER(I48),(I48-H48)/I48,"")</f>
        <v/>
      </c>
      <c r="L48" s="12" t="n">
        <f aca="false">G48/1600</f>
        <v>0.364706983811828</v>
      </c>
    </row>
    <row r="49" customFormat="false" ht="15" hidden="false" customHeight="false" outlineLevel="0" collapsed="false">
      <c r="A49" s="6" t="s">
        <v>43</v>
      </c>
      <c r="B49" s="4" t="s">
        <v>39</v>
      </c>
      <c r="C49" s="7" t="n">
        <f aca="false">400*0.45359237/Assumptions!$B$6</f>
        <v>181.436948</v>
      </c>
      <c r="D49" s="8" t="n">
        <f aca="false">C49*Formulas!$F$59</f>
        <v>2012.7886963957</v>
      </c>
      <c r="E49" s="8" t="n">
        <f aca="false">C49*Formulas!$G$59</f>
        <v>2012.7886963957</v>
      </c>
      <c r="F49" s="8" t="n">
        <f aca="false">Packaging!$G$13</f>
        <v>79.264</v>
      </c>
      <c r="G49" s="9" t="n">
        <f aca="false">D49+F49</f>
        <v>2092.0526963957</v>
      </c>
      <c r="H49" s="9" t="n">
        <f aca="false">E49+F49</f>
        <v>2092.0526963957</v>
      </c>
      <c r="I49" s="10"/>
      <c r="J49" s="8" t="str">
        <f aca="false">IF(ISNUMBER(I49),I49-H49,"")</f>
        <v/>
      </c>
      <c r="K49" s="11" t="str">
        <f aca="false">IF(ISNUMBER(I49),(I49-H49)/I49,"")</f>
        <v/>
      </c>
      <c r="L49" s="12" t="n">
        <f aca="false">G49/6400</f>
        <v>0.326883233811828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14"/>
    <col collapsed="false" customWidth="true" hidden="false" outlineLevel="0" max="3" min="3" style="0" width="90"/>
  </cols>
  <sheetData>
    <row r="1" customFormat="false" ht="22.05" hidden="false" customHeight="false" outlineLevel="0" collapsed="false">
      <c r="A1" s="1" t="s">
        <v>44</v>
      </c>
    </row>
    <row r="2" customFormat="false" ht="15" hidden="false" customHeight="false" outlineLevel="0" collapsed="false">
      <c r="A2" s="2" t="s">
        <v>45</v>
      </c>
    </row>
    <row r="4" customFormat="false" ht="31.5" hidden="false" customHeight="true" outlineLevel="0" collapsed="false">
      <c r="A4" s="5" t="s">
        <v>46</v>
      </c>
      <c r="B4" s="5" t="s">
        <v>47</v>
      </c>
      <c r="C4" s="5" t="s">
        <v>48</v>
      </c>
    </row>
    <row r="5" customFormat="false" ht="15" hidden="false" customHeight="false" outlineLevel="0" collapsed="false">
      <c r="A5" s="6" t="s">
        <v>49</v>
      </c>
      <c r="B5" s="13" t="n">
        <v>1</v>
      </c>
      <c r="C5" s="14" t="s">
        <v>50</v>
      </c>
    </row>
    <row r="6" customFormat="false" ht="15" hidden="false" customHeight="false" outlineLevel="0" collapsed="false">
      <c r="A6" s="6" t="s">
        <v>51</v>
      </c>
      <c r="B6" s="15" t="n">
        <v>1</v>
      </c>
      <c r="C6" s="14" t="s">
        <v>52</v>
      </c>
    </row>
    <row r="7" customFormat="false" ht="15" hidden="false" customHeight="false" outlineLevel="0" collapsed="false">
      <c r="A7" s="6" t="s">
        <v>53</v>
      </c>
      <c r="B7" s="16" t="n">
        <v>5</v>
      </c>
      <c r="C7" s="14" t="s">
        <v>54</v>
      </c>
    </row>
    <row r="8" customFormat="false" ht="15" hidden="false" customHeight="false" outlineLevel="0" collapsed="false">
      <c r="A8" s="6" t="s">
        <v>55</v>
      </c>
      <c r="B8" s="17" t="n">
        <v>3.78541</v>
      </c>
      <c r="C8" s="14" t="s">
        <v>56</v>
      </c>
    </row>
    <row r="9" customFormat="false" ht="15" hidden="false" customHeight="false" outlineLevel="0" collapsed="false">
      <c r="A9" s="6" t="s">
        <v>57</v>
      </c>
      <c r="B9" s="18" t="n">
        <v>0.0295735</v>
      </c>
      <c r="C9" s="14" t="s">
        <v>56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6" topLeftCell="E7" activePane="bottomRight" state="frozen"/>
      <selection pane="topLeft" activeCell="A1" activeCellId="0" sqref="A1"/>
      <selection pane="topRight" activeCell="E1" activeCellId="0" sqref="E1"/>
      <selection pane="bottomLeft" activeCell="A7" activeCellId="0" sqref="A7"/>
      <selection pane="bottomRigh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24"/>
    <col collapsed="false" customWidth="true" hidden="false" outlineLevel="0" max="3" min="3" style="0" width="11"/>
    <col collapsed="false" customWidth="true" hidden="false" outlineLevel="0" max="13" min="4" style="0" width="13"/>
  </cols>
  <sheetData>
    <row r="1" customFormat="false" ht="22.05" hidden="false" customHeight="false" outlineLevel="0" collapsed="false">
      <c r="A1" s="1" t="s">
        <v>58</v>
      </c>
    </row>
    <row r="2" customFormat="false" ht="15" hidden="false" customHeight="false" outlineLevel="0" collapsed="false">
      <c r="A2" s="2" t="s">
        <v>59</v>
      </c>
    </row>
    <row r="3" customFormat="false" ht="15" hidden="false" customHeight="false" outlineLevel="0" collapsed="false">
      <c r="A3" s="19" t="s">
        <v>60</v>
      </c>
    </row>
    <row r="5" customFormat="false" ht="36" hidden="false" customHeight="true" outlineLevel="0" collapsed="false">
      <c r="A5" s="5" t="s">
        <v>61</v>
      </c>
      <c r="B5" s="5" t="s">
        <v>62</v>
      </c>
      <c r="C5" s="5" t="s">
        <v>63</v>
      </c>
      <c r="D5" s="5" t="s">
        <v>64</v>
      </c>
      <c r="E5" s="5" t="s">
        <v>65</v>
      </c>
      <c r="F5" s="5" t="s">
        <v>66</v>
      </c>
      <c r="G5" s="5" t="s">
        <v>67</v>
      </c>
      <c r="H5" s="5" t="s">
        <v>68</v>
      </c>
      <c r="I5" s="5" t="s">
        <v>69</v>
      </c>
      <c r="J5" s="5" t="s">
        <v>70</v>
      </c>
      <c r="K5" s="5" t="s">
        <v>71</v>
      </c>
      <c r="L5" s="5" t="s">
        <v>72</v>
      </c>
      <c r="M5" s="5" t="s">
        <v>73</v>
      </c>
    </row>
    <row r="6" customFormat="false" ht="15" hidden="false" customHeight="false" outlineLevel="0" collapsed="false">
      <c r="A6" s="3" t="s">
        <v>74</v>
      </c>
      <c r="B6" s="20"/>
      <c r="C6" s="20"/>
      <c r="D6" s="20"/>
      <c r="E6" s="21" t="n">
        <f aca="false">0.5*0.028349523/Assumptions!$B$6*1000</f>
        <v>14.1747615</v>
      </c>
      <c r="F6" s="21" t="n">
        <f aca="false">1*0.028349523/Assumptions!$B$6*1000</f>
        <v>28.349523</v>
      </c>
      <c r="G6" s="21" t="n">
        <f aca="false">2*0.028349523/Assumptions!$B$6*1000</f>
        <v>56.699046</v>
      </c>
      <c r="H6" s="21" t="n">
        <f aca="false">4*0.028349523/Assumptions!$B$6*1000</f>
        <v>113.398092</v>
      </c>
      <c r="I6" s="21" t="n">
        <f aca="false">16*0.028349523/Assumptions!$B$6*1000</f>
        <v>453.592368</v>
      </c>
      <c r="J6" s="22" t="n">
        <f aca="false">5*0.45359237/Assumptions!$B$6*1</f>
        <v>2.26796185</v>
      </c>
      <c r="K6" s="22" t="n">
        <f aca="false">25*0.45359237/Assumptions!$B$6*1</f>
        <v>11.33980925</v>
      </c>
      <c r="L6" s="22" t="n">
        <f aca="false">100*0.45359237/Assumptions!$B$6*1</f>
        <v>45.359237</v>
      </c>
      <c r="M6" s="22" t="n">
        <f aca="false">400*0.45359237/Assumptions!$B$6*1</f>
        <v>181.436948</v>
      </c>
    </row>
    <row r="8" customFormat="false" ht="15" hidden="false" customHeight="false" outlineLevel="0" collapsed="false">
      <c r="A8" s="23" t="s">
        <v>30</v>
      </c>
      <c r="B8" s="24"/>
      <c r="C8" s="24"/>
      <c r="D8" s="24"/>
      <c r="E8" s="24"/>
      <c r="F8" s="24"/>
      <c r="G8" s="24"/>
      <c r="H8" s="24"/>
      <c r="I8" s="24"/>
      <c r="J8" s="24"/>
      <c r="K8" s="24"/>
      <c r="L8" s="24"/>
      <c r="M8" s="24"/>
    </row>
    <row r="9" customFormat="false" ht="15" hidden="false" customHeight="false" outlineLevel="0" collapsed="false">
      <c r="A9" s="6" t="str">
        <f aca="false">Formulas!$A$6</f>
        <v>Squalane Oil (Olive)</v>
      </c>
      <c r="B9" s="4" t="str">
        <f aca="false">Formulas!$B$6</f>
        <v>Add-in</v>
      </c>
      <c r="C9" s="25" t="n">
        <f aca="false">N(Formulas!$C$6)</f>
        <v>0.02</v>
      </c>
      <c r="D9" s="26" t="n">
        <f aca="false">C9*100</f>
        <v>2</v>
      </c>
      <c r="E9" s="7" t="n">
        <f aca="false">$C9*E$6</f>
        <v>0.28349523</v>
      </c>
      <c r="F9" s="7" t="n">
        <f aca="false">$C9*F$6</f>
        <v>0.56699046</v>
      </c>
      <c r="G9" s="7" t="n">
        <f aca="false">$C9*G$6</f>
        <v>1.13398092</v>
      </c>
      <c r="H9" s="7" t="n">
        <f aca="false">$C9*H$6</f>
        <v>2.26796184</v>
      </c>
      <c r="I9" s="7" t="n">
        <f aca="false">$C9*I$6</f>
        <v>9.07184736</v>
      </c>
      <c r="J9" s="27" t="n">
        <f aca="false">$C9*J$6</f>
        <v>0.045359237</v>
      </c>
      <c r="K9" s="27" t="n">
        <f aca="false">$C9*K$6</f>
        <v>0.226796185</v>
      </c>
      <c r="L9" s="27" t="n">
        <f aca="false">$C9*L$6</f>
        <v>0.90718474</v>
      </c>
      <c r="M9" s="27" t="n">
        <f aca="false">$C9*M$6</f>
        <v>3.62873896</v>
      </c>
    </row>
    <row r="10" customFormat="false" ht="15" hidden="false" customHeight="false" outlineLevel="0" collapsed="false">
      <c r="A10" s="6" t="str">
        <f aca="false">Formulas!$A$7</f>
        <v>Sodium hyaluronate (hyaluronic acid, HMW)</v>
      </c>
      <c r="B10" s="4" t="str">
        <f aca="false">Formulas!$B$7</f>
        <v>Add-in</v>
      </c>
      <c r="C10" s="25" t="n">
        <f aca="false">N(Formulas!$C$7)</f>
        <v>0.002</v>
      </c>
      <c r="D10" s="26" t="n">
        <f aca="false">C10*100</f>
        <v>0.2</v>
      </c>
      <c r="E10" s="7" t="n">
        <f aca="false">$C10*E$6</f>
        <v>0.028349523</v>
      </c>
      <c r="F10" s="7" t="n">
        <f aca="false">$C10*F$6</f>
        <v>0.056699046</v>
      </c>
      <c r="G10" s="7" t="n">
        <f aca="false">$C10*G$6</f>
        <v>0.113398092</v>
      </c>
      <c r="H10" s="7" t="n">
        <f aca="false">$C10*H$6</f>
        <v>0.226796184</v>
      </c>
      <c r="I10" s="7" t="n">
        <f aca="false">$C10*I$6</f>
        <v>0.907184736</v>
      </c>
      <c r="J10" s="27" t="n">
        <f aca="false">$C10*J$6</f>
        <v>0.0045359237</v>
      </c>
      <c r="K10" s="27" t="n">
        <f aca="false">$C10*K$6</f>
        <v>0.0226796185</v>
      </c>
      <c r="L10" s="27" t="n">
        <f aca="false">$C10*L$6</f>
        <v>0.090718474</v>
      </c>
      <c r="M10" s="27" t="n">
        <f aca="false">$C10*M$6</f>
        <v>0.362873896</v>
      </c>
    </row>
    <row r="11" customFormat="false" ht="15" hidden="false" customHeight="false" outlineLevel="0" collapsed="false">
      <c r="A11" s="6" t="str">
        <f aca="false">Formulas!$A$8</f>
        <v>Evening Primrose Oil</v>
      </c>
      <c r="B11" s="4" t="str">
        <f aca="false">Formulas!$B$8</f>
        <v>Add-in</v>
      </c>
      <c r="C11" s="25" t="n">
        <f aca="false">N(Formulas!$C$8)</f>
        <v>0.01</v>
      </c>
      <c r="D11" s="26" t="n">
        <f aca="false">C11*100</f>
        <v>1</v>
      </c>
      <c r="E11" s="7" t="n">
        <f aca="false">$C11*E$6</f>
        <v>0.141747615</v>
      </c>
      <c r="F11" s="7" t="n">
        <f aca="false">$C11*F$6</f>
        <v>0.28349523</v>
      </c>
      <c r="G11" s="7" t="n">
        <f aca="false">$C11*G$6</f>
        <v>0.56699046</v>
      </c>
      <c r="H11" s="7" t="n">
        <f aca="false">$C11*H$6</f>
        <v>1.13398092</v>
      </c>
      <c r="I11" s="7" t="n">
        <f aca="false">$C11*I$6</f>
        <v>4.53592368</v>
      </c>
      <c r="J11" s="27" t="n">
        <f aca="false">$C11*J$6</f>
        <v>0.0226796185</v>
      </c>
      <c r="K11" s="27" t="n">
        <f aca="false">$C11*K$6</f>
        <v>0.1133980925</v>
      </c>
      <c r="L11" s="27" t="n">
        <f aca="false">$C11*L$6</f>
        <v>0.45359237</v>
      </c>
      <c r="M11" s="27" t="n">
        <f aca="false">$C11*M$6</f>
        <v>1.81436948</v>
      </c>
    </row>
    <row r="12" customFormat="false" ht="15" hidden="false" customHeight="false" outlineLevel="0" collapsed="false">
      <c r="A12" s="6" t="str">
        <f aca="false">Formulas!$A$9</f>
        <v>Peptide complex (palmitoyl tripeptide-1 + tetrapeptide-7)</v>
      </c>
      <c r="B12" s="4" t="str">
        <f aca="false">Formulas!$B$9</f>
        <v>Add-in</v>
      </c>
      <c r="C12" s="25" t="n">
        <f aca="false">N(Formulas!$C$9)</f>
        <v>0.03</v>
      </c>
      <c r="D12" s="26" t="n">
        <f aca="false">C12*100</f>
        <v>3</v>
      </c>
      <c r="E12" s="7" t="n">
        <f aca="false">$C12*E$6</f>
        <v>0.425242845</v>
      </c>
      <c r="F12" s="7" t="n">
        <f aca="false">$C12*F$6</f>
        <v>0.85048569</v>
      </c>
      <c r="G12" s="7" t="n">
        <f aca="false">$C12*G$6</f>
        <v>1.70097138</v>
      </c>
      <c r="H12" s="7" t="n">
        <f aca="false">$C12*H$6</f>
        <v>3.40194276</v>
      </c>
      <c r="I12" s="7" t="n">
        <f aca="false">$C12*I$6</f>
        <v>13.60777104</v>
      </c>
      <c r="J12" s="27" t="n">
        <f aca="false">$C12*J$6</f>
        <v>0.0680388555</v>
      </c>
      <c r="K12" s="27" t="n">
        <f aca="false">$C12*K$6</f>
        <v>0.3401942775</v>
      </c>
      <c r="L12" s="27" t="n">
        <f aca="false">$C12*L$6</f>
        <v>1.36077711</v>
      </c>
      <c r="M12" s="27" t="n">
        <f aca="false">$C12*M$6</f>
        <v>5.44310844</v>
      </c>
    </row>
    <row r="13" customFormat="false" ht="15" hidden="false" customHeight="false" outlineLevel="0" collapsed="false">
      <c r="A13" s="6" t="str">
        <f aca="false">Formulas!$A$10</f>
        <v>Allantoin</v>
      </c>
      <c r="B13" s="4" t="str">
        <f aca="false">Formulas!$B$10</f>
        <v>Add-in</v>
      </c>
      <c r="C13" s="25" t="n">
        <f aca="false">N(Formulas!$C$10)</f>
        <v>0.002</v>
      </c>
      <c r="D13" s="26" t="n">
        <f aca="false">C13*100</f>
        <v>0.2</v>
      </c>
      <c r="E13" s="7" t="n">
        <f aca="false">$C13*E$6</f>
        <v>0.028349523</v>
      </c>
      <c r="F13" s="7" t="n">
        <f aca="false">$C13*F$6</f>
        <v>0.056699046</v>
      </c>
      <c r="G13" s="7" t="n">
        <f aca="false">$C13*G$6</f>
        <v>0.113398092</v>
      </c>
      <c r="H13" s="7" t="n">
        <f aca="false">$C13*H$6</f>
        <v>0.226796184</v>
      </c>
      <c r="I13" s="7" t="n">
        <f aca="false">$C13*I$6</f>
        <v>0.907184736</v>
      </c>
      <c r="J13" s="27" t="n">
        <f aca="false">$C13*J$6</f>
        <v>0.0045359237</v>
      </c>
      <c r="K13" s="27" t="n">
        <f aca="false">$C13*K$6</f>
        <v>0.0226796185</v>
      </c>
      <c r="L13" s="27" t="n">
        <f aca="false">$C13*L$6</f>
        <v>0.090718474</v>
      </c>
      <c r="M13" s="27" t="n">
        <f aca="false">$C13*M$6</f>
        <v>0.362873896</v>
      </c>
    </row>
    <row r="14" customFormat="false" ht="15" hidden="false" customHeight="false" outlineLevel="0" collapsed="false">
      <c r="A14" s="6" t="str">
        <f aca="false">Formulas!$A$11</f>
        <v>Licorice root extract</v>
      </c>
      <c r="B14" s="4" t="str">
        <f aca="false">Formulas!$B$11</f>
        <v>Add-in</v>
      </c>
      <c r="C14" s="25" t="n">
        <f aca="false">N(Formulas!$C$11)</f>
        <v>0.005</v>
      </c>
      <c r="D14" s="26" t="n">
        <f aca="false">C14*100</f>
        <v>0.5</v>
      </c>
      <c r="E14" s="7" t="n">
        <f aca="false">$C14*E$6</f>
        <v>0.0708738075</v>
      </c>
      <c r="F14" s="7" t="n">
        <f aca="false">$C14*F$6</f>
        <v>0.141747615</v>
      </c>
      <c r="G14" s="7" t="n">
        <f aca="false">$C14*G$6</f>
        <v>0.28349523</v>
      </c>
      <c r="H14" s="7" t="n">
        <f aca="false">$C14*H$6</f>
        <v>0.56699046</v>
      </c>
      <c r="I14" s="7" t="n">
        <f aca="false">$C14*I$6</f>
        <v>2.26796184</v>
      </c>
      <c r="J14" s="27" t="n">
        <f aca="false">$C14*J$6</f>
        <v>0.01133980925</v>
      </c>
      <c r="K14" s="27" t="n">
        <f aca="false">$C14*K$6</f>
        <v>0.05669904625</v>
      </c>
      <c r="L14" s="27" t="n">
        <f aca="false">$C14*L$6</f>
        <v>0.226796185</v>
      </c>
      <c r="M14" s="27" t="n">
        <f aca="false">$C14*M$6</f>
        <v>0.90718474</v>
      </c>
    </row>
    <row r="15" customFormat="false" ht="15" hidden="false" customHeight="false" outlineLevel="0" collapsed="false">
      <c r="A15" s="6" t="str">
        <f aca="false">Formulas!$A$12</f>
        <v>RainShadow Labs — All Purpose Lotion</v>
      </c>
      <c r="B15" s="4" t="str">
        <f aca="false">Formulas!$B$12</f>
        <v>Base (remainder)</v>
      </c>
      <c r="C15" s="25" t="n">
        <f aca="false">N(Formulas!$C$12)</f>
        <v>0.931</v>
      </c>
      <c r="D15" s="26" t="n">
        <f aca="false">C15*100</f>
        <v>93.1</v>
      </c>
      <c r="E15" s="7" t="n">
        <f aca="false">$C15*E$6</f>
        <v>13.1967029565</v>
      </c>
      <c r="F15" s="7" t="n">
        <f aca="false">$C15*F$6</f>
        <v>26.393405913</v>
      </c>
      <c r="G15" s="7" t="n">
        <f aca="false">$C15*G$6</f>
        <v>52.786811826</v>
      </c>
      <c r="H15" s="7" t="n">
        <f aca="false">$C15*H$6</f>
        <v>105.573623652</v>
      </c>
      <c r="I15" s="7" t="n">
        <f aca="false">$C15*I$6</f>
        <v>422.294494608</v>
      </c>
      <c r="J15" s="27" t="n">
        <f aca="false">$C15*J$6</f>
        <v>2.11147248235</v>
      </c>
      <c r="K15" s="27" t="n">
        <f aca="false">$C15*K$6</f>
        <v>10.55736241175</v>
      </c>
      <c r="L15" s="27" t="n">
        <f aca="false">$C15*L$6</f>
        <v>42.229449647</v>
      </c>
      <c r="M15" s="27" t="n">
        <f aca="false">$C15*M$6</f>
        <v>168.917798588</v>
      </c>
    </row>
    <row r="16" customFormat="false" ht="15" hidden="false" customHeight="false" outlineLevel="0" collapsed="false">
      <c r="A16" s="3" t="s">
        <v>75</v>
      </c>
      <c r="B16" s="20"/>
      <c r="C16" s="28" t="n">
        <f aca="false">SUM(C9:C15)</f>
        <v>1</v>
      </c>
      <c r="D16" s="29" t="n">
        <f aca="false">SUM(D9:D15)</f>
        <v>100</v>
      </c>
      <c r="E16" s="30" t="n">
        <f aca="false">SUM(E9:E15)</f>
        <v>14.1747615</v>
      </c>
      <c r="F16" s="30" t="n">
        <f aca="false">SUM(F9:F15)</f>
        <v>28.349523</v>
      </c>
      <c r="G16" s="30" t="n">
        <f aca="false">SUM(G9:G15)</f>
        <v>56.699046</v>
      </c>
      <c r="H16" s="30" t="n">
        <f aca="false">SUM(H9:H15)</f>
        <v>113.398092</v>
      </c>
      <c r="I16" s="30" t="n">
        <f aca="false">SUM(I9:I15)</f>
        <v>453.592368</v>
      </c>
      <c r="J16" s="21" t="n">
        <f aca="false">SUM(J9:J15)</f>
        <v>2.26796185</v>
      </c>
      <c r="K16" s="21" t="n">
        <f aca="false">SUM(K9:K15)</f>
        <v>11.33980925</v>
      </c>
      <c r="L16" s="21" t="n">
        <f aca="false">SUM(L9:L15)</f>
        <v>45.359237</v>
      </c>
      <c r="M16" s="21" t="n">
        <f aca="false">SUM(M9:M15)</f>
        <v>181.436948</v>
      </c>
    </row>
    <row r="19" customFormat="false" ht="15" hidden="false" customHeight="false" outlineLevel="0" collapsed="false">
      <c r="A19" s="23" t="s">
        <v>40</v>
      </c>
      <c r="B19" s="24"/>
      <c r="C19" s="24"/>
      <c r="D19" s="24"/>
      <c r="E19" s="24"/>
      <c r="F19" s="24"/>
      <c r="G19" s="24"/>
      <c r="H19" s="24"/>
      <c r="I19" s="24"/>
      <c r="J19" s="24"/>
      <c r="K19" s="24"/>
      <c r="L19" s="24"/>
      <c r="M19" s="24"/>
    </row>
    <row r="20" customFormat="false" ht="15" hidden="false" customHeight="false" outlineLevel="0" collapsed="false">
      <c r="A20" s="6" t="str">
        <f aca="false">Formulas!$A$18</f>
        <v>Rosehip Oil</v>
      </c>
      <c r="B20" s="4" t="str">
        <f aca="false">Formulas!$B$18</f>
        <v>Add-in</v>
      </c>
      <c r="C20" s="25" t="n">
        <f aca="false">N(Formulas!$C$18)</f>
        <v>0.01</v>
      </c>
      <c r="D20" s="26" t="n">
        <f aca="false">C20*100</f>
        <v>1</v>
      </c>
      <c r="E20" s="7" t="n">
        <f aca="false">$C20*E$6</f>
        <v>0.141747615</v>
      </c>
      <c r="F20" s="7" t="n">
        <f aca="false">$C20*F$6</f>
        <v>0.28349523</v>
      </c>
      <c r="G20" s="7" t="n">
        <f aca="false">$C20*G$6</f>
        <v>0.56699046</v>
      </c>
      <c r="H20" s="7" t="n">
        <f aca="false">$C20*H$6</f>
        <v>1.13398092</v>
      </c>
      <c r="I20" s="7" t="n">
        <f aca="false">$C20*I$6</f>
        <v>4.53592368</v>
      </c>
      <c r="J20" s="27" t="n">
        <f aca="false">$C20*J$6</f>
        <v>0.0226796185</v>
      </c>
      <c r="K20" s="27" t="n">
        <f aca="false">$C20*K$6</f>
        <v>0.1133980925</v>
      </c>
      <c r="L20" s="27" t="n">
        <f aca="false">$C20*L$6</f>
        <v>0.45359237</v>
      </c>
      <c r="M20" s="27" t="n">
        <f aca="false">$C20*M$6</f>
        <v>1.81436948</v>
      </c>
    </row>
    <row r="21" customFormat="false" ht="15" hidden="false" customHeight="false" outlineLevel="0" collapsed="false">
      <c r="A21" s="6" t="str">
        <f aca="false">Formulas!$A$19</f>
        <v>Tamanu Oil</v>
      </c>
      <c r="B21" s="4" t="str">
        <f aca="false">Formulas!$B$19</f>
        <v>Add-in</v>
      </c>
      <c r="C21" s="25" t="n">
        <f aca="false">N(Formulas!$C$19)</f>
        <v>0.01</v>
      </c>
      <c r="D21" s="26" t="n">
        <f aca="false">C21*100</f>
        <v>1</v>
      </c>
      <c r="E21" s="7" t="n">
        <f aca="false">$C21*E$6</f>
        <v>0.141747615</v>
      </c>
      <c r="F21" s="7" t="n">
        <f aca="false">$C21*F$6</f>
        <v>0.28349523</v>
      </c>
      <c r="G21" s="7" t="n">
        <f aca="false">$C21*G$6</f>
        <v>0.56699046</v>
      </c>
      <c r="H21" s="7" t="n">
        <f aca="false">$C21*H$6</f>
        <v>1.13398092</v>
      </c>
      <c r="I21" s="7" t="n">
        <f aca="false">$C21*I$6</f>
        <v>4.53592368</v>
      </c>
      <c r="J21" s="27" t="n">
        <f aca="false">$C21*J$6</f>
        <v>0.0226796185</v>
      </c>
      <c r="K21" s="27" t="n">
        <f aca="false">$C21*K$6</f>
        <v>0.1133980925</v>
      </c>
      <c r="L21" s="27" t="n">
        <f aca="false">$C21*L$6</f>
        <v>0.45359237</v>
      </c>
      <c r="M21" s="27" t="n">
        <f aca="false">$C21*M$6</f>
        <v>1.81436948</v>
      </c>
    </row>
    <row r="22" customFormat="false" ht="15" hidden="false" customHeight="false" outlineLevel="0" collapsed="false">
      <c r="A22" s="6" t="str">
        <f aca="false">Formulas!$A$20</f>
        <v>Niacinamide</v>
      </c>
      <c r="B22" s="4" t="str">
        <f aca="false">Formulas!$B$20</f>
        <v>Add-in</v>
      </c>
      <c r="C22" s="25" t="n">
        <f aca="false">N(Formulas!$C$20)</f>
        <v>0.02</v>
      </c>
      <c r="D22" s="26" t="n">
        <f aca="false">C22*100</f>
        <v>2</v>
      </c>
      <c r="E22" s="7" t="n">
        <f aca="false">$C22*E$6</f>
        <v>0.28349523</v>
      </c>
      <c r="F22" s="7" t="n">
        <f aca="false">$C22*F$6</f>
        <v>0.56699046</v>
      </c>
      <c r="G22" s="7" t="n">
        <f aca="false">$C22*G$6</f>
        <v>1.13398092</v>
      </c>
      <c r="H22" s="7" t="n">
        <f aca="false">$C22*H$6</f>
        <v>2.26796184</v>
      </c>
      <c r="I22" s="7" t="n">
        <f aca="false">$C22*I$6</f>
        <v>9.07184736</v>
      </c>
      <c r="J22" s="27" t="n">
        <f aca="false">$C22*J$6</f>
        <v>0.045359237</v>
      </c>
      <c r="K22" s="27" t="n">
        <f aca="false">$C22*K$6</f>
        <v>0.226796185</v>
      </c>
      <c r="L22" s="27" t="n">
        <f aca="false">$C22*L$6</f>
        <v>0.90718474</v>
      </c>
      <c r="M22" s="27" t="n">
        <f aca="false">$C22*M$6</f>
        <v>3.62873896</v>
      </c>
    </row>
    <row r="23" customFormat="false" ht="15" hidden="false" customHeight="false" outlineLevel="0" collapsed="false">
      <c r="A23" s="6" t="str">
        <f aca="false">Formulas!$A$21</f>
        <v>MSM (methylsulfonylmethane)</v>
      </c>
      <c r="B23" s="4" t="str">
        <f aca="false">Formulas!$B$21</f>
        <v>Add-in</v>
      </c>
      <c r="C23" s="25" t="n">
        <f aca="false">N(Formulas!$C$21)</f>
        <v>0.01</v>
      </c>
      <c r="D23" s="26" t="n">
        <f aca="false">C23*100</f>
        <v>1</v>
      </c>
      <c r="E23" s="7" t="n">
        <f aca="false">$C23*E$6</f>
        <v>0.141747615</v>
      </c>
      <c r="F23" s="7" t="n">
        <f aca="false">$C23*F$6</f>
        <v>0.28349523</v>
      </c>
      <c r="G23" s="7" t="n">
        <f aca="false">$C23*G$6</f>
        <v>0.56699046</v>
      </c>
      <c r="H23" s="7" t="n">
        <f aca="false">$C23*H$6</f>
        <v>1.13398092</v>
      </c>
      <c r="I23" s="7" t="n">
        <f aca="false">$C23*I$6</f>
        <v>4.53592368</v>
      </c>
      <c r="J23" s="27" t="n">
        <f aca="false">$C23*J$6</f>
        <v>0.0226796185</v>
      </c>
      <c r="K23" s="27" t="n">
        <f aca="false">$C23*K$6</f>
        <v>0.1133980925</v>
      </c>
      <c r="L23" s="27" t="n">
        <f aca="false">$C23*L$6</f>
        <v>0.45359237</v>
      </c>
      <c r="M23" s="27" t="n">
        <f aca="false">$C23*M$6</f>
        <v>1.81436948</v>
      </c>
    </row>
    <row r="24" customFormat="false" ht="15" hidden="false" customHeight="false" outlineLevel="0" collapsed="false">
      <c r="A24" s="6" t="str">
        <f aca="false">Formulas!$A$22</f>
        <v>RainShadow Labs — All Purpose Lotion</v>
      </c>
      <c r="B24" s="4" t="str">
        <f aca="false">Formulas!$B$22</f>
        <v>Base (remainder)</v>
      </c>
      <c r="C24" s="25" t="n">
        <f aca="false">N(Formulas!$C$22)</f>
        <v>0.95</v>
      </c>
      <c r="D24" s="26" t="n">
        <f aca="false">C24*100</f>
        <v>95</v>
      </c>
      <c r="E24" s="7" t="n">
        <f aca="false">$C24*E$6</f>
        <v>13.466023425</v>
      </c>
      <c r="F24" s="7" t="n">
        <f aca="false">$C24*F$6</f>
        <v>26.93204685</v>
      </c>
      <c r="G24" s="7" t="n">
        <f aca="false">$C24*G$6</f>
        <v>53.8640937</v>
      </c>
      <c r="H24" s="7" t="n">
        <f aca="false">$C24*H$6</f>
        <v>107.7281874</v>
      </c>
      <c r="I24" s="7" t="n">
        <f aca="false">$C24*I$6</f>
        <v>430.9127496</v>
      </c>
      <c r="J24" s="27" t="n">
        <f aca="false">$C24*J$6</f>
        <v>2.1545637575</v>
      </c>
      <c r="K24" s="27" t="n">
        <f aca="false">$C24*K$6</f>
        <v>10.7728187875</v>
      </c>
      <c r="L24" s="27" t="n">
        <f aca="false">$C24*L$6</f>
        <v>43.09127515</v>
      </c>
      <c r="M24" s="27" t="n">
        <f aca="false">$C24*M$6</f>
        <v>172.3651006</v>
      </c>
    </row>
    <row r="25" customFormat="false" ht="15" hidden="false" customHeight="false" outlineLevel="0" collapsed="false">
      <c r="A25" s="3" t="s">
        <v>75</v>
      </c>
      <c r="B25" s="20"/>
      <c r="C25" s="28" t="n">
        <f aca="false">SUM(C20:C24)</f>
        <v>1</v>
      </c>
      <c r="D25" s="29" t="n">
        <f aca="false">SUM(D20:D24)</f>
        <v>100</v>
      </c>
      <c r="E25" s="30" t="n">
        <f aca="false">SUM(E20:E24)</f>
        <v>14.1747615</v>
      </c>
      <c r="F25" s="30" t="n">
        <f aca="false">SUM(F20:F24)</f>
        <v>28.349523</v>
      </c>
      <c r="G25" s="30" t="n">
        <f aca="false">SUM(G20:G24)</f>
        <v>56.699046</v>
      </c>
      <c r="H25" s="30" t="n">
        <f aca="false">SUM(H20:H24)</f>
        <v>113.398092</v>
      </c>
      <c r="I25" s="30" t="n">
        <f aca="false">SUM(I20:I24)</f>
        <v>453.592368</v>
      </c>
      <c r="J25" s="21" t="n">
        <f aca="false">SUM(J20:J24)</f>
        <v>2.26796185</v>
      </c>
      <c r="K25" s="21" t="n">
        <f aca="false">SUM(K20:K24)</f>
        <v>11.33980925</v>
      </c>
      <c r="L25" s="21" t="n">
        <f aca="false">SUM(L20:L24)</f>
        <v>45.359237</v>
      </c>
      <c r="M25" s="21" t="n">
        <f aca="false">SUM(M20:M24)</f>
        <v>181.436948</v>
      </c>
    </row>
    <row r="28" customFormat="false" ht="15" hidden="false" customHeight="false" outlineLevel="0" collapsed="false">
      <c r="A28" s="23" t="s">
        <v>41</v>
      </c>
      <c r="B28" s="24"/>
      <c r="C28" s="24"/>
      <c r="D28" s="24"/>
      <c r="E28" s="24"/>
      <c r="F28" s="24"/>
      <c r="G28" s="24"/>
      <c r="H28" s="24"/>
      <c r="I28" s="24"/>
      <c r="J28" s="24"/>
      <c r="K28" s="24"/>
      <c r="L28" s="24"/>
      <c r="M28" s="24"/>
    </row>
    <row r="29" customFormat="false" ht="15" hidden="false" customHeight="false" outlineLevel="0" collapsed="false">
      <c r="A29" s="6" t="str">
        <f aca="false">Formulas!$A$28</f>
        <v>Marula Oil</v>
      </c>
      <c r="B29" s="4" t="str">
        <f aca="false">Formulas!$B$28</f>
        <v>Add-in</v>
      </c>
      <c r="C29" s="25" t="n">
        <f aca="false">N(Formulas!$C$28)</f>
        <v>0.01</v>
      </c>
      <c r="D29" s="26" t="n">
        <f aca="false">C29*100</f>
        <v>1</v>
      </c>
      <c r="E29" s="7" t="n">
        <f aca="false">$C29*E$6</f>
        <v>0.141747615</v>
      </c>
      <c r="F29" s="7" t="n">
        <f aca="false">$C29*F$6</f>
        <v>0.28349523</v>
      </c>
      <c r="G29" s="7" t="n">
        <f aca="false">$C29*G$6</f>
        <v>0.56699046</v>
      </c>
      <c r="H29" s="7" t="n">
        <f aca="false">$C29*H$6</f>
        <v>1.13398092</v>
      </c>
      <c r="I29" s="7" t="n">
        <f aca="false">$C29*I$6</f>
        <v>4.53592368</v>
      </c>
      <c r="J29" s="27" t="n">
        <f aca="false">$C29*J$6</f>
        <v>0.0226796185</v>
      </c>
      <c r="K29" s="27" t="n">
        <f aca="false">$C29*K$6</f>
        <v>0.1133980925</v>
      </c>
      <c r="L29" s="27" t="n">
        <f aca="false">$C29*L$6</f>
        <v>0.45359237</v>
      </c>
      <c r="M29" s="27" t="n">
        <f aca="false">$C29*M$6</f>
        <v>1.81436948</v>
      </c>
    </row>
    <row r="30" customFormat="false" ht="15" hidden="false" customHeight="false" outlineLevel="0" collapsed="false">
      <c r="A30" s="6" t="str">
        <f aca="false">Formulas!$A$29</f>
        <v>Licorice root extract</v>
      </c>
      <c r="B30" s="4" t="str">
        <f aca="false">Formulas!$B$29</f>
        <v>Add-in</v>
      </c>
      <c r="C30" s="25" t="n">
        <f aca="false">N(Formulas!$C$29)</f>
        <v>0.005</v>
      </c>
      <c r="D30" s="26" t="n">
        <f aca="false">C30*100</f>
        <v>0.5</v>
      </c>
      <c r="E30" s="7" t="n">
        <f aca="false">$C30*E$6</f>
        <v>0.0708738075</v>
      </c>
      <c r="F30" s="7" t="n">
        <f aca="false">$C30*F$6</f>
        <v>0.141747615</v>
      </c>
      <c r="G30" s="7" t="n">
        <f aca="false">$C30*G$6</f>
        <v>0.28349523</v>
      </c>
      <c r="H30" s="7" t="n">
        <f aca="false">$C30*H$6</f>
        <v>0.56699046</v>
      </c>
      <c r="I30" s="7" t="n">
        <f aca="false">$C30*I$6</f>
        <v>2.26796184</v>
      </c>
      <c r="J30" s="27" t="n">
        <f aca="false">$C30*J$6</f>
        <v>0.01133980925</v>
      </c>
      <c r="K30" s="27" t="n">
        <f aca="false">$C30*K$6</f>
        <v>0.05669904625</v>
      </c>
      <c r="L30" s="27" t="n">
        <f aca="false">$C30*L$6</f>
        <v>0.226796185</v>
      </c>
      <c r="M30" s="27" t="n">
        <f aca="false">$C30*M$6</f>
        <v>0.90718474</v>
      </c>
    </row>
    <row r="31" customFormat="false" ht="15" hidden="false" customHeight="false" outlineLevel="0" collapsed="false">
      <c r="A31" s="6" t="str">
        <f aca="false">Formulas!$A$30</f>
        <v>Green tea extract</v>
      </c>
      <c r="B31" s="4" t="str">
        <f aca="false">Formulas!$B$30</f>
        <v>Add-in</v>
      </c>
      <c r="C31" s="25" t="n">
        <f aca="false">N(Formulas!$C$30)</f>
        <v>0.005</v>
      </c>
      <c r="D31" s="26" t="n">
        <f aca="false">C31*100</f>
        <v>0.5</v>
      </c>
      <c r="E31" s="7" t="n">
        <f aca="false">$C31*E$6</f>
        <v>0.0708738075</v>
      </c>
      <c r="F31" s="7" t="n">
        <f aca="false">$C31*F$6</f>
        <v>0.141747615</v>
      </c>
      <c r="G31" s="7" t="n">
        <f aca="false">$C31*G$6</f>
        <v>0.28349523</v>
      </c>
      <c r="H31" s="7" t="n">
        <f aca="false">$C31*H$6</f>
        <v>0.56699046</v>
      </c>
      <c r="I31" s="7" t="n">
        <f aca="false">$C31*I$6</f>
        <v>2.26796184</v>
      </c>
      <c r="J31" s="27" t="n">
        <f aca="false">$C31*J$6</f>
        <v>0.01133980925</v>
      </c>
      <c r="K31" s="27" t="n">
        <f aca="false">$C31*K$6</f>
        <v>0.05669904625</v>
      </c>
      <c r="L31" s="27" t="n">
        <f aca="false">$C31*L$6</f>
        <v>0.226796185</v>
      </c>
      <c r="M31" s="27" t="n">
        <f aca="false">$C31*M$6</f>
        <v>0.90718474</v>
      </c>
    </row>
    <row r="32" customFormat="false" ht="15" hidden="false" customHeight="false" outlineLevel="0" collapsed="false">
      <c r="A32" s="6" t="str">
        <f aca="false">Formulas!$A$31</f>
        <v>Vitamin E Oil</v>
      </c>
      <c r="B32" s="4" t="str">
        <f aca="false">Formulas!$B$31</f>
        <v>Add-in</v>
      </c>
      <c r="C32" s="25" t="n">
        <f aca="false">N(Formulas!$C$31)</f>
        <v>0.005</v>
      </c>
      <c r="D32" s="26" t="n">
        <f aca="false">C32*100</f>
        <v>0.5</v>
      </c>
      <c r="E32" s="7" t="n">
        <f aca="false">$C32*E$6</f>
        <v>0.0708738075</v>
      </c>
      <c r="F32" s="7" t="n">
        <f aca="false">$C32*F$6</f>
        <v>0.141747615</v>
      </c>
      <c r="G32" s="7" t="n">
        <f aca="false">$C32*G$6</f>
        <v>0.28349523</v>
      </c>
      <c r="H32" s="7" t="n">
        <f aca="false">$C32*H$6</f>
        <v>0.56699046</v>
      </c>
      <c r="I32" s="7" t="n">
        <f aca="false">$C32*I$6</f>
        <v>2.26796184</v>
      </c>
      <c r="J32" s="27" t="n">
        <f aca="false">$C32*J$6</f>
        <v>0.01133980925</v>
      </c>
      <c r="K32" s="27" t="n">
        <f aca="false">$C32*K$6</f>
        <v>0.05669904625</v>
      </c>
      <c r="L32" s="27" t="n">
        <f aca="false">$C32*L$6</f>
        <v>0.226796185</v>
      </c>
      <c r="M32" s="27" t="n">
        <f aca="false">$C32*M$6</f>
        <v>0.90718474</v>
      </c>
    </row>
    <row r="33" customFormat="false" ht="15" hidden="false" customHeight="false" outlineLevel="0" collapsed="false">
      <c r="A33" s="6" t="str">
        <f aca="false">Formulas!$A$32</f>
        <v>Bakuchiol 99%</v>
      </c>
      <c r="B33" s="4" t="str">
        <f aca="false">Formulas!$B$32</f>
        <v>Add-in</v>
      </c>
      <c r="C33" s="25" t="n">
        <f aca="false">N(Formulas!$C$32)</f>
        <v>0.005</v>
      </c>
      <c r="D33" s="26" t="n">
        <f aca="false">C33*100</f>
        <v>0.5</v>
      </c>
      <c r="E33" s="7" t="n">
        <f aca="false">$C33*E$6</f>
        <v>0.0708738075</v>
      </c>
      <c r="F33" s="7" t="n">
        <f aca="false">$C33*F$6</f>
        <v>0.141747615</v>
      </c>
      <c r="G33" s="7" t="n">
        <f aca="false">$C33*G$6</f>
        <v>0.28349523</v>
      </c>
      <c r="H33" s="7" t="n">
        <f aca="false">$C33*H$6</f>
        <v>0.56699046</v>
      </c>
      <c r="I33" s="7" t="n">
        <f aca="false">$C33*I$6</f>
        <v>2.26796184</v>
      </c>
      <c r="J33" s="27" t="n">
        <f aca="false">$C33*J$6</f>
        <v>0.01133980925</v>
      </c>
      <c r="K33" s="27" t="n">
        <f aca="false">$C33*K$6</f>
        <v>0.05669904625</v>
      </c>
      <c r="L33" s="27" t="n">
        <f aca="false">$C33*L$6</f>
        <v>0.226796185</v>
      </c>
      <c r="M33" s="27" t="n">
        <f aca="false">$C33*M$6</f>
        <v>0.90718474</v>
      </c>
    </row>
    <row r="34" customFormat="false" ht="15" hidden="false" customHeight="false" outlineLevel="0" collapsed="false">
      <c r="A34" s="6" t="str">
        <f aca="false">Formulas!$A$33</f>
        <v>Sodium hyaluronate (hyaluronic acid, HMW)</v>
      </c>
      <c r="B34" s="4" t="str">
        <f aca="false">Formulas!$B$33</f>
        <v>Add-in</v>
      </c>
      <c r="C34" s="25" t="n">
        <f aca="false">N(Formulas!$C$33)</f>
        <v>0.001</v>
      </c>
      <c r="D34" s="26" t="n">
        <f aca="false">C34*100</f>
        <v>0.1</v>
      </c>
      <c r="E34" s="7" t="n">
        <f aca="false">$C34*E$6</f>
        <v>0.0141747615</v>
      </c>
      <c r="F34" s="7" t="n">
        <f aca="false">$C34*F$6</f>
        <v>0.028349523</v>
      </c>
      <c r="G34" s="7" t="n">
        <f aca="false">$C34*G$6</f>
        <v>0.056699046</v>
      </c>
      <c r="H34" s="7" t="n">
        <f aca="false">$C34*H$6</f>
        <v>0.113398092</v>
      </c>
      <c r="I34" s="7" t="n">
        <f aca="false">$C34*I$6</f>
        <v>0.453592368</v>
      </c>
      <c r="J34" s="27" t="n">
        <f aca="false">$C34*J$6</f>
        <v>0.00226796185</v>
      </c>
      <c r="K34" s="27" t="n">
        <f aca="false">$C34*K$6</f>
        <v>0.01133980925</v>
      </c>
      <c r="L34" s="27" t="n">
        <f aca="false">$C34*L$6</f>
        <v>0.045359237</v>
      </c>
      <c r="M34" s="27" t="n">
        <f aca="false">$C34*M$6</f>
        <v>0.181436948</v>
      </c>
    </row>
    <row r="35" customFormat="false" ht="15" hidden="false" customHeight="false" outlineLevel="0" collapsed="false">
      <c r="A35" s="6" t="str">
        <f aca="false">Formulas!$A$34</f>
        <v>Envii Labs — Soothing &amp; Hydrating Body Lotion (Gallon)</v>
      </c>
      <c r="B35" s="4" t="str">
        <f aca="false">Formulas!$B$34</f>
        <v>Base (remainder)</v>
      </c>
      <c r="C35" s="25" t="n">
        <f aca="false">N(Formulas!$C$34)</f>
        <v>0.969</v>
      </c>
      <c r="D35" s="26" t="n">
        <f aca="false">C35*100</f>
        <v>96.9</v>
      </c>
      <c r="E35" s="7" t="n">
        <f aca="false">$C35*E$6</f>
        <v>13.7353438935</v>
      </c>
      <c r="F35" s="7" t="n">
        <f aca="false">$C35*F$6</f>
        <v>27.470687787</v>
      </c>
      <c r="G35" s="7" t="n">
        <f aca="false">$C35*G$6</f>
        <v>54.941375574</v>
      </c>
      <c r="H35" s="7" t="n">
        <f aca="false">$C35*H$6</f>
        <v>109.882751148</v>
      </c>
      <c r="I35" s="7" t="n">
        <f aca="false">$C35*I$6</f>
        <v>439.531004592</v>
      </c>
      <c r="J35" s="27" t="n">
        <f aca="false">$C35*J$6</f>
        <v>2.19765503265</v>
      </c>
      <c r="K35" s="27" t="n">
        <f aca="false">$C35*K$6</f>
        <v>10.98827516325</v>
      </c>
      <c r="L35" s="27" t="n">
        <f aca="false">$C35*L$6</f>
        <v>43.953100653</v>
      </c>
      <c r="M35" s="27" t="n">
        <f aca="false">$C35*M$6</f>
        <v>175.812402612</v>
      </c>
    </row>
    <row r="36" customFormat="false" ht="15" hidden="false" customHeight="false" outlineLevel="0" collapsed="false">
      <c r="A36" s="3" t="s">
        <v>75</v>
      </c>
      <c r="B36" s="20"/>
      <c r="C36" s="28" t="n">
        <f aca="false">SUM(C29:C35)</f>
        <v>1</v>
      </c>
      <c r="D36" s="29" t="n">
        <f aca="false">SUM(D29:D35)</f>
        <v>100</v>
      </c>
      <c r="E36" s="30" t="n">
        <f aca="false">SUM(E29:E35)</f>
        <v>14.1747615</v>
      </c>
      <c r="F36" s="30" t="n">
        <f aca="false">SUM(F29:F35)</f>
        <v>28.349523</v>
      </c>
      <c r="G36" s="30" t="n">
        <f aca="false">SUM(G29:G35)</f>
        <v>56.699046</v>
      </c>
      <c r="H36" s="30" t="n">
        <f aca="false">SUM(H29:H35)</f>
        <v>113.398092</v>
      </c>
      <c r="I36" s="30" t="n">
        <f aca="false">SUM(I29:I35)</f>
        <v>453.592368</v>
      </c>
      <c r="J36" s="21" t="n">
        <f aca="false">SUM(J29:J35)</f>
        <v>2.26796185</v>
      </c>
      <c r="K36" s="21" t="n">
        <f aca="false">SUM(K29:K35)</f>
        <v>11.33980925</v>
      </c>
      <c r="L36" s="21" t="n">
        <f aca="false">SUM(L29:L35)</f>
        <v>45.359237</v>
      </c>
      <c r="M36" s="21" t="n">
        <f aca="false">SUM(M29:M35)</f>
        <v>181.436948</v>
      </c>
    </row>
    <row r="39" customFormat="false" ht="15" hidden="false" customHeight="false" outlineLevel="0" collapsed="false">
      <c r="A39" s="23" t="s">
        <v>42</v>
      </c>
      <c r="B39" s="24"/>
      <c r="C39" s="24"/>
      <c r="D39" s="24"/>
      <c r="E39" s="24"/>
      <c r="F39" s="24"/>
      <c r="G39" s="24"/>
      <c r="H39" s="24"/>
      <c r="I39" s="24"/>
      <c r="J39" s="24"/>
      <c r="K39" s="24"/>
      <c r="L39" s="24"/>
      <c r="M39" s="24"/>
    </row>
    <row r="40" customFormat="false" ht="15" hidden="false" customHeight="false" outlineLevel="0" collapsed="false">
      <c r="A40" s="6" t="str">
        <f aca="false">Formulas!$A$40</f>
        <v>Castor Oil</v>
      </c>
      <c r="B40" s="4" t="str">
        <f aca="false">Formulas!$B$40</f>
        <v>Add-in</v>
      </c>
      <c r="C40" s="25" t="n">
        <f aca="false">N(Formulas!$C$40)</f>
        <v>0.03</v>
      </c>
      <c r="D40" s="26" t="n">
        <f aca="false">C40*100</f>
        <v>3</v>
      </c>
      <c r="E40" s="7" t="n">
        <f aca="false">$C40*E$6</f>
        <v>0.425242845</v>
      </c>
      <c r="F40" s="7" t="n">
        <f aca="false">$C40*F$6</f>
        <v>0.85048569</v>
      </c>
      <c r="G40" s="7" t="n">
        <f aca="false">$C40*G$6</f>
        <v>1.70097138</v>
      </c>
      <c r="H40" s="7" t="n">
        <f aca="false">$C40*H$6</f>
        <v>3.40194276</v>
      </c>
      <c r="I40" s="7" t="n">
        <f aca="false">$C40*I$6</f>
        <v>13.60777104</v>
      </c>
      <c r="J40" s="27" t="n">
        <f aca="false">$C40*J$6</f>
        <v>0.0680388555</v>
      </c>
      <c r="K40" s="27" t="n">
        <f aca="false">$C40*K$6</f>
        <v>0.3401942775</v>
      </c>
      <c r="L40" s="27" t="n">
        <f aca="false">$C40*L$6</f>
        <v>1.36077711</v>
      </c>
      <c r="M40" s="27" t="n">
        <f aca="false">$C40*M$6</f>
        <v>5.44310844</v>
      </c>
    </row>
    <row r="41" customFormat="false" ht="15" hidden="false" customHeight="false" outlineLevel="0" collapsed="false">
      <c r="A41" s="6" t="str">
        <f aca="false">Formulas!$A$41</f>
        <v>Jojoba Oil</v>
      </c>
      <c r="B41" s="4" t="str">
        <f aca="false">Formulas!$B$41</f>
        <v>Add-in</v>
      </c>
      <c r="C41" s="25" t="n">
        <f aca="false">N(Formulas!$C$41)</f>
        <v>0.02</v>
      </c>
      <c r="D41" s="26" t="n">
        <f aca="false">C41*100</f>
        <v>2</v>
      </c>
      <c r="E41" s="7" t="n">
        <f aca="false">$C41*E$6</f>
        <v>0.28349523</v>
      </c>
      <c r="F41" s="7" t="n">
        <f aca="false">$C41*F$6</f>
        <v>0.56699046</v>
      </c>
      <c r="G41" s="7" t="n">
        <f aca="false">$C41*G$6</f>
        <v>1.13398092</v>
      </c>
      <c r="H41" s="7" t="n">
        <f aca="false">$C41*H$6</f>
        <v>2.26796184</v>
      </c>
      <c r="I41" s="7" t="n">
        <f aca="false">$C41*I$6</f>
        <v>9.07184736</v>
      </c>
      <c r="J41" s="27" t="n">
        <f aca="false">$C41*J$6</f>
        <v>0.045359237</v>
      </c>
      <c r="K41" s="27" t="n">
        <f aca="false">$C41*K$6</f>
        <v>0.226796185</v>
      </c>
      <c r="L41" s="27" t="n">
        <f aca="false">$C41*L$6</f>
        <v>0.90718474</v>
      </c>
      <c r="M41" s="27" t="n">
        <f aca="false">$C41*M$6</f>
        <v>3.62873896</v>
      </c>
    </row>
    <row r="42" customFormat="false" ht="15" hidden="false" customHeight="false" outlineLevel="0" collapsed="false">
      <c r="A42" s="6" t="str">
        <f aca="false">Formulas!$A$42</f>
        <v>Avocado Oil</v>
      </c>
      <c r="B42" s="4" t="str">
        <f aca="false">Formulas!$B$42</f>
        <v>Add-in</v>
      </c>
      <c r="C42" s="25" t="n">
        <f aca="false">N(Formulas!$C$42)</f>
        <v>0.02</v>
      </c>
      <c r="D42" s="26" t="n">
        <f aca="false">C42*100</f>
        <v>2</v>
      </c>
      <c r="E42" s="7" t="n">
        <f aca="false">$C42*E$6</f>
        <v>0.28349523</v>
      </c>
      <c r="F42" s="7" t="n">
        <f aca="false">$C42*F$6</f>
        <v>0.56699046</v>
      </c>
      <c r="G42" s="7" t="n">
        <f aca="false">$C42*G$6</f>
        <v>1.13398092</v>
      </c>
      <c r="H42" s="7" t="n">
        <f aca="false">$C42*H$6</f>
        <v>2.26796184</v>
      </c>
      <c r="I42" s="7" t="n">
        <f aca="false">$C42*I$6</f>
        <v>9.07184736</v>
      </c>
      <c r="J42" s="27" t="n">
        <f aca="false">$C42*J$6</f>
        <v>0.045359237</v>
      </c>
      <c r="K42" s="27" t="n">
        <f aca="false">$C42*K$6</f>
        <v>0.226796185</v>
      </c>
      <c r="L42" s="27" t="n">
        <f aca="false">$C42*L$6</f>
        <v>0.90718474</v>
      </c>
      <c r="M42" s="27" t="n">
        <f aca="false">$C42*M$6</f>
        <v>3.62873896</v>
      </c>
    </row>
    <row r="43" customFormat="false" ht="15" hidden="false" customHeight="false" outlineLevel="0" collapsed="false">
      <c r="A43" s="6" t="str">
        <f aca="false">Formulas!$A$43</f>
        <v>Coffee essential oil (botanical)</v>
      </c>
      <c r="B43" s="4" t="str">
        <f aca="false">Formulas!$B$43</f>
        <v>Add-in</v>
      </c>
      <c r="C43" s="25" t="n">
        <f aca="false">N(Formulas!$C$43)</f>
        <v>0.0025</v>
      </c>
      <c r="D43" s="26" t="n">
        <f aca="false">C43*100</f>
        <v>0.25</v>
      </c>
      <c r="E43" s="7" t="n">
        <f aca="false">$C43*E$6</f>
        <v>0.03543690375</v>
      </c>
      <c r="F43" s="7" t="n">
        <f aca="false">$C43*F$6</f>
        <v>0.0708738075</v>
      </c>
      <c r="G43" s="7" t="n">
        <f aca="false">$C43*G$6</f>
        <v>0.141747615</v>
      </c>
      <c r="H43" s="7" t="n">
        <f aca="false">$C43*H$6</f>
        <v>0.28349523</v>
      </c>
      <c r="I43" s="7" t="n">
        <f aca="false">$C43*I$6</f>
        <v>1.13398092</v>
      </c>
      <c r="J43" s="27" t="n">
        <f aca="false">$C43*J$6</f>
        <v>0.005669904625</v>
      </c>
      <c r="K43" s="27" t="n">
        <f aca="false">$C43*K$6</f>
        <v>0.028349523125</v>
      </c>
      <c r="L43" s="27" t="n">
        <f aca="false">$C43*L$6</f>
        <v>0.1133980925</v>
      </c>
      <c r="M43" s="27" t="n">
        <f aca="false">$C43*M$6</f>
        <v>0.45359237</v>
      </c>
    </row>
    <row r="44" customFormat="false" ht="15" hidden="false" customHeight="false" outlineLevel="0" collapsed="false">
      <c r="A44" s="6" t="str">
        <f aca="false">Formulas!$A$44</f>
        <v>Argireline (acetyl hexapeptide-8) solution</v>
      </c>
      <c r="B44" s="4" t="str">
        <f aca="false">Formulas!$B$44</f>
        <v>Add-in</v>
      </c>
      <c r="C44" s="25" t="n">
        <f aca="false">N(Formulas!$C$44)</f>
        <v>0.05</v>
      </c>
      <c r="D44" s="26" t="n">
        <f aca="false">C44*100</f>
        <v>5</v>
      </c>
      <c r="E44" s="7" t="n">
        <f aca="false">$C44*E$6</f>
        <v>0.708738075</v>
      </c>
      <c r="F44" s="7" t="n">
        <f aca="false">$C44*F$6</f>
        <v>1.41747615</v>
      </c>
      <c r="G44" s="7" t="n">
        <f aca="false">$C44*G$6</f>
        <v>2.8349523</v>
      </c>
      <c r="H44" s="7" t="n">
        <f aca="false">$C44*H$6</f>
        <v>5.6699046</v>
      </c>
      <c r="I44" s="7" t="n">
        <f aca="false">$C44*I$6</f>
        <v>22.6796184</v>
      </c>
      <c r="J44" s="27" t="n">
        <f aca="false">$C44*J$6</f>
        <v>0.1133980925</v>
      </c>
      <c r="K44" s="27" t="n">
        <f aca="false">$C44*K$6</f>
        <v>0.5669904625</v>
      </c>
      <c r="L44" s="27" t="n">
        <f aca="false">$C44*L$6</f>
        <v>2.26796185</v>
      </c>
      <c r="M44" s="27" t="n">
        <f aca="false">$C44*M$6</f>
        <v>9.0718474</v>
      </c>
    </row>
    <row r="45" customFormat="false" ht="15" hidden="false" customHeight="false" outlineLevel="0" collapsed="false">
      <c r="A45" s="6" t="str">
        <f aca="false">Formulas!$A$45</f>
        <v>Sodium hyaluronate (hyaluronic acid, HMW)</v>
      </c>
      <c r="B45" s="4" t="str">
        <f aca="false">Formulas!$B$45</f>
        <v>Add-in</v>
      </c>
      <c r="C45" s="25" t="n">
        <f aca="false">N(Formulas!$C$45)</f>
        <v>0.001</v>
      </c>
      <c r="D45" s="26" t="n">
        <f aca="false">C45*100</f>
        <v>0.1</v>
      </c>
      <c r="E45" s="7" t="n">
        <f aca="false">$C45*E$6</f>
        <v>0.0141747615</v>
      </c>
      <c r="F45" s="7" t="n">
        <f aca="false">$C45*F$6</f>
        <v>0.028349523</v>
      </c>
      <c r="G45" s="7" t="n">
        <f aca="false">$C45*G$6</f>
        <v>0.056699046</v>
      </c>
      <c r="H45" s="7" t="n">
        <f aca="false">$C45*H$6</f>
        <v>0.113398092</v>
      </c>
      <c r="I45" s="7" t="n">
        <f aca="false">$C45*I$6</f>
        <v>0.453592368</v>
      </c>
      <c r="J45" s="27" t="n">
        <f aca="false">$C45*J$6</f>
        <v>0.00226796185</v>
      </c>
      <c r="K45" s="27" t="n">
        <f aca="false">$C45*K$6</f>
        <v>0.01133980925</v>
      </c>
      <c r="L45" s="27" t="n">
        <f aca="false">$C45*L$6</f>
        <v>0.045359237</v>
      </c>
      <c r="M45" s="27" t="n">
        <f aca="false">$C45*M$6</f>
        <v>0.181436948</v>
      </c>
    </row>
    <row r="46" customFormat="false" ht="15" hidden="false" customHeight="false" outlineLevel="0" collapsed="false">
      <c r="A46" s="6" t="str">
        <f aca="false">Formulas!$A$46</f>
        <v>Cucumber fruit extract</v>
      </c>
      <c r="B46" s="4" t="str">
        <f aca="false">Formulas!$B$46</f>
        <v>Add-in</v>
      </c>
      <c r="C46" s="25" t="n">
        <f aca="false">N(Formulas!$C$46)</f>
        <v>0.01</v>
      </c>
      <c r="D46" s="26" t="n">
        <f aca="false">C46*100</f>
        <v>1</v>
      </c>
      <c r="E46" s="7" t="n">
        <f aca="false">$C46*E$6</f>
        <v>0.141747615</v>
      </c>
      <c r="F46" s="7" t="n">
        <f aca="false">$C46*F$6</f>
        <v>0.28349523</v>
      </c>
      <c r="G46" s="7" t="n">
        <f aca="false">$C46*G$6</f>
        <v>0.56699046</v>
      </c>
      <c r="H46" s="7" t="n">
        <f aca="false">$C46*H$6</f>
        <v>1.13398092</v>
      </c>
      <c r="I46" s="7" t="n">
        <f aca="false">$C46*I$6</f>
        <v>4.53592368</v>
      </c>
      <c r="J46" s="27" t="n">
        <f aca="false">$C46*J$6</f>
        <v>0.0226796185</v>
      </c>
      <c r="K46" s="27" t="n">
        <f aca="false">$C46*K$6</f>
        <v>0.1133980925</v>
      </c>
      <c r="L46" s="27" t="n">
        <f aca="false">$C46*L$6</f>
        <v>0.45359237</v>
      </c>
      <c r="M46" s="27" t="n">
        <f aca="false">$C46*M$6</f>
        <v>1.81436948</v>
      </c>
    </row>
    <row r="47" customFormat="false" ht="15" hidden="false" customHeight="false" outlineLevel="0" collapsed="false">
      <c r="A47" s="6" t="str">
        <f aca="false">Formulas!$A$47</f>
        <v>Licorice root extract</v>
      </c>
      <c r="B47" s="4" t="str">
        <f aca="false">Formulas!$B$47</f>
        <v>Add-in</v>
      </c>
      <c r="C47" s="25" t="n">
        <f aca="false">N(Formulas!$C$47)</f>
        <v>0.005</v>
      </c>
      <c r="D47" s="26" t="n">
        <f aca="false">C47*100</f>
        <v>0.5</v>
      </c>
      <c r="E47" s="7" t="n">
        <f aca="false">$C47*E$6</f>
        <v>0.0708738075</v>
      </c>
      <c r="F47" s="7" t="n">
        <f aca="false">$C47*F$6</f>
        <v>0.141747615</v>
      </c>
      <c r="G47" s="7" t="n">
        <f aca="false">$C47*G$6</f>
        <v>0.28349523</v>
      </c>
      <c r="H47" s="7" t="n">
        <f aca="false">$C47*H$6</f>
        <v>0.56699046</v>
      </c>
      <c r="I47" s="7" t="n">
        <f aca="false">$C47*I$6</f>
        <v>2.26796184</v>
      </c>
      <c r="J47" s="27" t="n">
        <f aca="false">$C47*J$6</f>
        <v>0.01133980925</v>
      </c>
      <c r="K47" s="27" t="n">
        <f aca="false">$C47*K$6</f>
        <v>0.05669904625</v>
      </c>
      <c r="L47" s="27" t="n">
        <f aca="false">$C47*L$6</f>
        <v>0.226796185</v>
      </c>
      <c r="M47" s="27" t="n">
        <f aca="false">$C47*M$6</f>
        <v>0.90718474</v>
      </c>
    </row>
    <row r="48" customFormat="false" ht="15" hidden="false" customHeight="false" outlineLevel="0" collapsed="false">
      <c r="A48" s="6" t="str">
        <f aca="false">Formulas!$A$48</f>
        <v>Organic Creations (OR) — Aloe Vera Gel</v>
      </c>
      <c r="B48" s="4" t="str">
        <f aca="false">Formulas!$B$48</f>
        <v>Base (remainder)</v>
      </c>
      <c r="C48" s="25" t="n">
        <f aca="false">N(Formulas!$C$48)</f>
        <v>0.8615</v>
      </c>
      <c r="D48" s="26" t="n">
        <f aca="false">C48*100</f>
        <v>86.15</v>
      </c>
      <c r="E48" s="7" t="n">
        <f aca="false">$C48*E$6</f>
        <v>12.21155703225</v>
      </c>
      <c r="F48" s="7" t="n">
        <f aca="false">$C48*F$6</f>
        <v>24.4231140645</v>
      </c>
      <c r="G48" s="7" t="n">
        <f aca="false">$C48*G$6</f>
        <v>48.846228129</v>
      </c>
      <c r="H48" s="7" t="n">
        <f aca="false">$C48*H$6</f>
        <v>97.692456258</v>
      </c>
      <c r="I48" s="7" t="n">
        <f aca="false">$C48*I$6</f>
        <v>390.769825032</v>
      </c>
      <c r="J48" s="27" t="n">
        <f aca="false">$C48*J$6</f>
        <v>1.953849133775</v>
      </c>
      <c r="K48" s="27" t="n">
        <f aca="false">$C48*K$6</f>
        <v>9.769245668875</v>
      </c>
      <c r="L48" s="27" t="n">
        <f aca="false">$C48*L$6</f>
        <v>39.0769826755</v>
      </c>
      <c r="M48" s="27" t="n">
        <f aca="false">$C48*M$6</f>
        <v>156.307930702</v>
      </c>
    </row>
    <row r="49" customFormat="false" ht="15" hidden="false" customHeight="false" outlineLevel="0" collapsed="false">
      <c r="A49" s="3" t="s">
        <v>75</v>
      </c>
      <c r="B49" s="20"/>
      <c r="C49" s="28" t="n">
        <f aca="false">SUM(C40:C48)</f>
        <v>1</v>
      </c>
      <c r="D49" s="29" t="n">
        <f aca="false">SUM(D40:D48)</f>
        <v>100</v>
      </c>
      <c r="E49" s="30" t="n">
        <f aca="false">SUM(E40:E48)</f>
        <v>14.1747615</v>
      </c>
      <c r="F49" s="30" t="n">
        <f aca="false">SUM(F40:F48)</f>
        <v>28.349523</v>
      </c>
      <c r="G49" s="30" t="n">
        <f aca="false">SUM(G40:G48)</f>
        <v>56.699046</v>
      </c>
      <c r="H49" s="30" t="n">
        <f aca="false">SUM(H40:H48)</f>
        <v>113.398092</v>
      </c>
      <c r="I49" s="30" t="n">
        <f aca="false">SUM(I40:I48)</f>
        <v>453.592368</v>
      </c>
      <c r="J49" s="21" t="n">
        <f aca="false">SUM(J40:J48)</f>
        <v>2.26796185</v>
      </c>
      <c r="K49" s="21" t="n">
        <f aca="false">SUM(K40:K48)</f>
        <v>11.33980925</v>
      </c>
      <c r="L49" s="21" t="n">
        <f aca="false">SUM(L40:L48)</f>
        <v>45.359237</v>
      </c>
      <c r="M49" s="21" t="n">
        <f aca="false">SUM(M40:M48)</f>
        <v>181.436948</v>
      </c>
    </row>
    <row r="52" customFormat="false" ht="15" hidden="false" customHeight="false" outlineLevel="0" collapsed="false">
      <c r="A52" s="23" t="s">
        <v>43</v>
      </c>
      <c r="B52" s="24"/>
      <c r="C52" s="24"/>
      <c r="D52" s="24"/>
      <c r="E52" s="24"/>
      <c r="F52" s="24"/>
      <c r="G52" s="24"/>
      <c r="H52" s="24"/>
      <c r="I52" s="24"/>
      <c r="J52" s="24"/>
      <c r="K52" s="24"/>
      <c r="L52" s="24"/>
      <c r="M52" s="24"/>
    </row>
    <row r="53" customFormat="false" ht="15" hidden="false" customHeight="false" outlineLevel="0" collapsed="false">
      <c r="A53" s="6" t="str">
        <f aca="false">Formulas!$A$54</f>
        <v>Niacinamide</v>
      </c>
      <c r="B53" s="4" t="str">
        <f aca="false">Formulas!$B$54</f>
        <v>Add-in</v>
      </c>
      <c r="C53" s="25" t="n">
        <f aca="false">N(Formulas!$C$54)</f>
        <v>0.02</v>
      </c>
      <c r="D53" s="26" t="n">
        <f aca="false">C53*100</f>
        <v>2</v>
      </c>
      <c r="E53" s="7" t="n">
        <f aca="false">$C53*E$6</f>
        <v>0.28349523</v>
      </c>
      <c r="F53" s="7" t="n">
        <f aca="false">$C53*F$6</f>
        <v>0.56699046</v>
      </c>
      <c r="G53" s="7" t="n">
        <f aca="false">$C53*G$6</f>
        <v>1.13398092</v>
      </c>
      <c r="H53" s="7" t="n">
        <f aca="false">$C53*H$6</f>
        <v>2.26796184</v>
      </c>
      <c r="I53" s="7" t="n">
        <f aca="false">$C53*I$6</f>
        <v>9.07184736</v>
      </c>
      <c r="J53" s="27" t="n">
        <f aca="false">$C53*J$6</f>
        <v>0.045359237</v>
      </c>
      <c r="K53" s="27" t="n">
        <f aca="false">$C53*K$6</f>
        <v>0.226796185</v>
      </c>
      <c r="L53" s="27" t="n">
        <f aca="false">$C53*L$6</f>
        <v>0.90718474</v>
      </c>
      <c r="M53" s="27" t="n">
        <f aca="false">$C53*M$6</f>
        <v>3.62873896</v>
      </c>
    </row>
    <row r="54" customFormat="false" ht="15" hidden="false" customHeight="false" outlineLevel="0" collapsed="false">
      <c r="A54" s="6" t="str">
        <f aca="false">Formulas!$A$55</f>
        <v>Sodium hyaluronate (hyaluronic acid, HMW)</v>
      </c>
      <c r="B54" s="4" t="str">
        <f aca="false">Formulas!$B$55</f>
        <v>Add-in</v>
      </c>
      <c r="C54" s="25" t="n">
        <f aca="false">N(Formulas!$C$55)</f>
        <v>0.002</v>
      </c>
      <c r="D54" s="26" t="n">
        <f aca="false">C54*100</f>
        <v>0.2</v>
      </c>
      <c r="E54" s="7" t="n">
        <f aca="false">$C54*E$6</f>
        <v>0.028349523</v>
      </c>
      <c r="F54" s="7" t="n">
        <f aca="false">$C54*F$6</f>
        <v>0.056699046</v>
      </c>
      <c r="G54" s="7" t="n">
        <f aca="false">$C54*G$6</f>
        <v>0.113398092</v>
      </c>
      <c r="H54" s="7" t="n">
        <f aca="false">$C54*H$6</f>
        <v>0.226796184</v>
      </c>
      <c r="I54" s="7" t="n">
        <f aca="false">$C54*I$6</f>
        <v>0.907184736</v>
      </c>
      <c r="J54" s="27" t="n">
        <f aca="false">$C54*J$6</f>
        <v>0.0045359237</v>
      </c>
      <c r="K54" s="27" t="n">
        <f aca="false">$C54*K$6</f>
        <v>0.0226796185</v>
      </c>
      <c r="L54" s="27" t="n">
        <f aca="false">$C54*L$6</f>
        <v>0.090718474</v>
      </c>
      <c r="M54" s="27" t="n">
        <f aca="false">$C54*M$6</f>
        <v>0.362873896</v>
      </c>
    </row>
    <row r="55" customFormat="false" ht="15" hidden="false" customHeight="false" outlineLevel="0" collapsed="false">
      <c r="A55" s="6" t="str">
        <f aca="false">Formulas!$A$56</f>
        <v>Avocado Oil</v>
      </c>
      <c r="B55" s="4" t="str">
        <f aca="false">Formulas!$B$56</f>
        <v>Add-in</v>
      </c>
      <c r="C55" s="25" t="n">
        <f aca="false">N(Formulas!$C$56)</f>
        <v>0.005</v>
      </c>
      <c r="D55" s="26" t="n">
        <f aca="false">C55*100</f>
        <v>0.5</v>
      </c>
      <c r="E55" s="7" t="n">
        <f aca="false">$C55*E$6</f>
        <v>0.0708738075</v>
      </c>
      <c r="F55" s="7" t="n">
        <f aca="false">$C55*F$6</f>
        <v>0.141747615</v>
      </c>
      <c r="G55" s="7" t="n">
        <f aca="false">$C55*G$6</f>
        <v>0.28349523</v>
      </c>
      <c r="H55" s="7" t="n">
        <f aca="false">$C55*H$6</f>
        <v>0.56699046</v>
      </c>
      <c r="I55" s="7" t="n">
        <f aca="false">$C55*I$6</f>
        <v>2.26796184</v>
      </c>
      <c r="J55" s="27" t="n">
        <f aca="false">$C55*J$6</f>
        <v>0.01133980925</v>
      </c>
      <c r="K55" s="27" t="n">
        <f aca="false">$C55*K$6</f>
        <v>0.05669904625</v>
      </c>
      <c r="L55" s="27" t="n">
        <f aca="false">$C55*L$6</f>
        <v>0.226796185</v>
      </c>
      <c r="M55" s="27" t="n">
        <f aca="false">$C55*M$6</f>
        <v>0.90718474</v>
      </c>
    </row>
    <row r="56" customFormat="false" ht="15" hidden="false" customHeight="false" outlineLevel="0" collapsed="false">
      <c r="A56" s="6" t="str">
        <f aca="false">Formulas!$A$57</f>
        <v>Red Raspberry Seed Oil</v>
      </c>
      <c r="B56" s="4" t="str">
        <f aca="false">Formulas!$B$57</f>
        <v>Add-in</v>
      </c>
      <c r="C56" s="25" t="n">
        <f aca="false">N(Formulas!$C$57)</f>
        <v>0.005</v>
      </c>
      <c r="D56" s="26" t="n">
        <f aca="false">C56*100</f>
        <v>0.5</v>
      </c>
      <c r="E56" s="7" t="n">
        <f aca="false">$C56*E$6</f>
        <v>0.0708738075</v>
      </c>
      <c r="F56" s="7" t="n">
        <f aca="false">$C56*F$6</f>
        <v>0.141747615</v>
      </c>
      <c r="G56" s="7" t="n">
        <f aca="false">$C56*G$6</f>
        <v>0.28349523</v>
      </c>
      <c r="H56" s="7" t="n">
        <f aca="false">$C56*H$6</f>
        <v>0.56699046</v>
      </c>
      <c r="I56" s="7" t="n">
        <f aca="false">$C56*I$6</f>
        <v>2.26796184</v>
      </c>
      <c r="J56" s="27" t="n">
        <f aca="false">$C56*J$6</f>
        <v>0.01133980925</v>
      </c>
      <c r="K56" s="27" t="n">
        <f aca="false">$C56*K$6</f>
        <v>0.05669904625</v>
      </c>
      <c r="L56" s="27" t="n">
        <f aca="false">$C56*L$6</f>
        <v>0.226796185</v>
      </c>
      <c r="M56" s="27" t="n">
        <f aca="false">$C56*M$6</f>
        <v>0.90718474</v>
      </c>
    </row>
    <row r="57" customFormat="false" ht="15" hidden="false" customHeight="false" outlineLevel="0" collapsed="false">
      <c r="A57" s="6" t="str">
        <f aca="false">Formulas!$A$58</f>
        <v>RainShadow Labs — All Purpose Lotion</v>
      </c>
      <c r="B57" s="4" t="str">
        <f aca="false">Formulas!$B$58</f>
        <v>Base (remainder)</v>
      </c>
      <c r="C57" s="25" t="n">
        <f aca="false">N(Formulas!$C$58)</f>
        <v>0.968</v>
      </c>
      <c r="D57" s="26" t="n">
        <f aca="false">C57*100</f>
        <v>96.8</v>
      </c>
      <c r="E57" s="7" t="n">
        <f aca="false">$C57*E$6</f>
        <v>13.721169132</v>
      </c>
      <c r="F57" s="7" t="n">
        <f aca="false">$C57*F$6</f>
        <v>27.442338264</v>
      </c>
      <c r="G57" s="7" t="n">
        <f aca="false">$C57*G$6</f>
        <v>54.884676528</v>
      </c>
      <c r="H57" s="7" t="n">
        <f aca="false">$C57*H$6</f>
        <v>109.769353056</v>
      </c>
      <c r="I57" s="7" t="n">
        <f aca="false">$C57*I$6</f>
        <v>439.077412224</v>
      </c>
      <c r="J57" s="27" t="n">
        <f aca="false">$C57*J$6</f>
        <v>2.1953870708</v>
      </c>
      <c r="K57" s="27" t="n">
        <f aca="false">$C57*K$6</f>
        <v>10.976935354</v>
      </c>
      <c r="L57" s="27" t="n">
        <f aca="false">$C57*L$6</f>
        <v>43.907741416</v>
      </c>
      <c r="M57" s="27" t="n">
        <f aca="false">$C57*M$6</f>
        <v>175.630965664</v>
      </c>
    </row>
    <row r="58" customFormat="false" ht="15" hidden="false" customHeight="false" outlineLevel="0" collapsed="false">
      <c r="A58" s="3" t="s">
        <v>75</v>
      </c>
      <c r="B58" s="20"/>
      <c r="C58" s="28" t="n">
        <f aca="false">SUM(C53:C57)</f>
        <v>1</v>
      </c>
      <c r="D58" s="29" t="n">
        <f aca="false">SUM(D53:D57)</f>
        <v>100</v>
      </c>
      <c r="E58" s="30" t="n">
        <f aca="false">SUM(E53:E57)</f>
        <v>14.1747615</v>
      </c>
      <c r="F58" s="30" t="n">
        <f aca="false">SUM(F53:F57)</f>
        <v>28.349523</v>
      </c>
      <c r="G58" s="30" t="n">
        <f aca="false">SUM(G53:G57)</f>
        <v>56.699046</v>
      </c>
      <c r="H58" s="30" t="n">
        <f aca="false">SUM(H53:H57)</f>
        <v>113.398092</v>
      </c>
      <c r="I58" s="30" t="n">
        <f aca="false">SUM(I53:I57)</f>
        <v>453.592368</v>
      </c>
      <c r="J58" s="21" t="n">
        <f aca="false">SUM(J53:J57)</f>
        <v>2.26796185</v>
      </c>
      <c r="K58" s="21" t="n">
        <f aca="false">SUM(K53:K57)</f>
        <v>11.33980925</v>
      </c>
      <c r="L58" s="21" t="n">
        <f aca="false">SUM(L53:L57)</f>
        <v>45.359237</v>
      </c>
      <c r="M58" s="21" t="n">
        <f aca="false">SUM(M53:M57)</f>
        <v>181.436948</v>
      </c>
    </row>
    <row r="61" customFormat="false" ht="15" hidden="false" customHeight="false" outlineLevel="0" collapsed="false">
      <c r="A61" s="19" t="s">
        <v>76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44"/>
    <col collapsed="false" customWidth="true" hidden="false" outlineLevel="0" max="2" min="2" style="0" width="18"/>
    <col collapsed="false" customWidth="true" hidden="false" outlineLevel="0" max="3" min="3" style="0" width="34"/>
    <col collapsed="false" customWidth="true" hidden="false" outlineLevel="0" max="4" min="4" style="0" width="22"/>
    <col collapsed="false" customWidth="true" hidden="false" outlineLevel="0" max="5" min="5" style="0" width="12"/>
    <col collapsed="false" customWidth="true" hidden="false" outlineLevel="0" max="6" min="6" style="0" width="13"/>
    <col collapsed="false" customWidth="true" hidden="false" outlineLevel="0" max="7" min="7" style="0" width="14"/>
    <col collapsed="false" customWidth="true" hidden="false" outlineLevel="0" max="8" min="8" style="0" width="16"/>
    <col collapsed="false" customWidth="true" hidden="false" outlineLevel="0" max="9" min="9" style="0" width="50"/>
    <col collapsed="false" customWidth="true" hidden="false" outlineLevel="0" max="10" min="10" style="0" width="11"/>
    <col collapsed="false" customWidth="true" hidden="false" outlineLevel="0" max="13" min="11" style="0" width="14"/>
  </cols>
  <sheetData>
    <row r="1" customFormat="false" ht="22.05" hidden="false" customHeight="false" outlineLevel="0" collapsed="false">
      <c r="A1" s="1" t="s">
        <v>77</v>
      </c>
    </row>
    <row r="2" customFormat="false" ht="15" hidden="false" customHeight="false" outlineLevel="0" collapsed="false">
      <c r="A2" s="2" t="s">
        <v>78</v>
      </c>
    </row>
    <row r="4" customFormat="false" ht="43.5" hidden="false" customHeight="true" outlineLevel="0" collapsed="false">
      <c r="A4" s="5" t="s">
        <v>61</v>
      </c>
      <c r="B4" s="5" t="s">
        <v>79</v>
      </c>
      <c r="C4" s="5" t="s">
        <v>80</v>
      </c>
      <c r="D4" s="5" t="s">
        <v>81</v>
      </c>
      <c r="E4" s="5" t="s">
        <v>82</v>
      </c>
      <c r="F4" s="5" t="s">
        <v>83</v>
      </c>
      <c r="G4" s="5" t="s">
        <v>84</v>
      </c>
      <c r="H4" s="5" t="s">
        <v>85</v>
      </c>
      <c r="I4" s="5" t="s">
        <v>86</v>
      </c>
      <c r="J4" s="5" t="s">
        <v>87</v>
      </c>
      <c r="K4" s="5" t="s">
        <v>88</v>
      </c>
      <c r="L4" s="5" t="s">
        <v>89</v>
      </c>
      <c r="M4" s="5" t="s">
        <v>90</v>
      </c>
    </row>
    <row r="5" customFormat="false" ht="15" hidden="false" customHeight="false" outlineLevel="0" collapsed="false">
      <c r="A5" s="6" t="s">
        <v>91</v>
      </c>
      <c r="B5" s="4" t="s">
        <v>92</v>
      </c>
      <c r="C5" s="4" t="s">
        <v>93</v>
      </c>
      <c r="D5" s="4" t="s">
        <v>94</v>
      </c>
      <c r="E5" s="31" t="n">
        <v>3.785</v>
      </c>
      <c r="F5" s="32" t="n">
        <v>135</v>
      </c>
      <c r="G5" s="8" t="n">
        <f aca="false">IF(AND(ISNUMBER(E5),ISNUMBER(F5)),F5/E5,"")</f>
        <v>35.667107001321</v>
      </c>
      <c r="H5" s="4" t="s">
        <v>95</v>
      </c>
      <c r="I5" s="33" t="s">
        <v>96</v>
      </c>
      <c r="J5" s="34"/>
      <c r="K5" s="35"/>
      <c r="L5" s="10"/>
      <c r="M5" s="8" t="n">
        <f aca="false">IF(ISNUMBER(L5),L5,G5)</f>
        <v>35.667107001321</v>
      </c>
    </row>
    <row r="6" customFormat="false" ht="15" hidden="false" customHeight="false" outlineLevel="0" collapsed="false">
      <c r="A6" s="6" t="s">
        <v>97</v>
      </c>
      <c r="B6" s="4" t="s">
        <v>92</v>
      </c>
      <c r="C6" s="4" t="s">
        <v>98</v>
      </c>
      <c r="D6" s="4" t="s">
        <v>99</v>
      </c>
      <c r="E6" s="31" t="n">
        <v>18.925</v>
      </c>
      <c r="F6" s="32" t="n">
        <v>138</v>
      </c>
      <c r="G6" s="8" t="n">
        <f aca="false">IF(AND(ISNUMBER(E6),ISNUMBER(F6)),F6/E6,"")</f>
        <v>7.29194187582563</v>
      </c>
      <c r="H6" s="4" t="s">
        <v>100</v>
      </c>
      <c r="I6" s="33" t="s">
        <v>101</v>
      </c>
      <c r="J6" s="34"/>
      <c r="K6" s="35"/>
      <c r="L6" s="10"/>
      <c r="M6" s="8" t="n">
        <f aca="false">IF(ISNUMBER(L6),L6,G6)</f>
        <v>7.29194187582563</v>
      </c>
    </row>
    <row r="7" customFormat="false" ht="15" hidden="false" customHeight="false" outlineLevel="0" collapsed="false">
      <c r="A7" s="6" t="s">
        <v>102</v>
      </c>
      <c r="B7" s="4" t="s">
        <v>92</v>
      </c>
      <c r="C7" s="4" t="s">
        <v>103</v>
      </c>
      <c r="D7" s="4" t="s">
        <v>104</v>
      </c>
      <c r="E7" s="31" t="n">
        <v>18.927</v>
      </c>
      <c r="F7" s="32" t="n">
        <v>167.5</v>
      </c>
      <c r="G7" s="8" t="n">
        <f aca="false">IF(AND(ISNUMBER(E7),ISNUMBER(F7)),F7/E7,"")</f>
        <v>8.84979130342896</v>
      </c>
      <c r="H7" s="4" t="s">
        <v>105</v>
      </c>
      <c r="I7" s="33" t="s">
        <v>106</v>
      </c>
      <c r="J7" s="34"/>
      <c r="K7" s="35"/>
      <c r="L7" s="10"/>
      <c r="M7" s="8" t="n">
        <f aca="false">IF(ISNUMBER(L7),L7,G7)</f>
        <v>8.84979130342896</v>
      </c>
    </row>
    <row r="8" customFormat="false" ht="15" hidden="false" customHeight="false" outlineLevel="0" collapsed="false">
      <c r="A8" s="6" t="s">
        <v>107</v>
      </c>
      <c r="B8" s="4" t="s">
        <v>108</v>
      </c>
      <c r="C8" s="4" t="s">
        <v>109</v>
      </c>
      <c r="D8" s="4" t="s">
        <v>110</v>
      </c>
      <c r="E8" s="31" t="n">
        <v>1</v>
      </c>
      <c r="F8" s="32" t="n">
        <v>63.9</v>
      </c>
      <c r="G8" s="8" t="n">
        <f aca="false">IF(AND(ISNUMBER(E8),ISNUMBER(F8)),F8/E8,"")</f>
        <v>63.9</v>
      </c>
      <c r="H8" s="4" t="s">
        <v>111</v>
      </c>
      <c r="I8" s="33" t="s">
        <v>112</v>
      </c>
      <c r="J8" s="34"/>
      <c r="K8" s="35"/>
      <c r="L8" s="10"/>
      <c r="M8" s="8" t="n">
        <f aca="false">IF(ISNUMBER(L8),L8,G8)</f>
        <v>63.9</v>
      </c>
    </row>
    <row r="9" customFormat="false" ht="15" hidden="false" customHeight="false" outlineLevel="0" collapsed="false">
      <c r="A9" s="6" t="s">
        <v>113</v>
      </c>
      <c r="B9" s="4" t="s">
        <v>108</v>
      </c>
      <c r="C9" s="4" t="s">
        <v>114</v>
      </c>
      <c r="D9" s="4" t="s">
        <v>115</v>
      </c>
      <c r="E9" s="31" t="n">
        <v>0.48</v>
      </c>
      <c r="F9" s="32" t="n">
        <v>334.75</v>
      </c>
      <c r="G9" s="8" t="n">
        <f aca="false">IF(AND(ISNUMBER(E9),ISNUMBER(F9)),F9/E9,"")</f>
        <v>697.395833333333</v>
      </c>
      <c r="H9" s="4" t="s">
        <v>100</v>
      </c>
      <c r="I9" s="33" t="s">
        <v>116</v>
      </c>
      <c r="J9" s="34"/>
      <c r="K9" s="35"/>
      <c r="L9" s="10"/>
      <c r="M9" s="8" t="n">
        <f aca="false">IF(ISNUMBER(L9),L9,G9)</f>
        <v>697.395833333333</v>
      </c>
    </row>
    <row r="10" customFormat="false" ht="15" hidden="false" customHeight="false" outlineLevel="0" collapsed="false">
      <c r="A10" s="6" t="s">
        <v>117</v>
      </c>
      <c r="B10" s="4" t="s">
        <v>108</v>
      </c>
      <c r="C10" s="4" t="s">
        <v>118</v>
      </c>
      <c r="D10" s="4" t="s">
        <v>119</v>
      </c>
      <c r="E10" s="31" t="n">
        <v>1</v>
      </c>
      <c r="F10" s="32" t="n">
        <v>1300</v>
      </c>
      <c r="G10" s="8" t="n">
        <f aca="false">IF(AND(ISNUMBER(E10),ISNUMBER(F10)),F10/E10,"")</f>
        <v>1300</v>
      </c>
      <c r="H10" s="4" t="s">
        <v>95</v>
      </c>
      <c r="I10" s="33" t="s">
        <v>120</v>
      </c>
      <c r="J10" s="34"/>
      <c r="K10" s="35"/>
      <c r="L10" s="10"/>
      <c r="M10" s="8" t="n">
        <f aca="false">IF(ISNUMBER(L10),L10,G10)</f>
        <v>1300</v>
      </c>
    </row>
    <row r="11" customFormat="false" ht="15" hidden="false" customHeight="false" outlineLevel="0" collapsed="false">
      <c r="A11" s="6" t="s">
        <v>121</v>
      </c>
      <c r="B11" s="4" t="s">
        <v>108</v>
      </c>
      <c r="C11" s="4" t="s">
        <v>118</v>
      </c>
      <c r="D11" s="4" t="s">
        <v>122</v>
      </c>
      <c r="E11" s="31" t="n">
        <v>1</v>
      </c>
      <c r="F11" s="32" t="n">
        <v>61</v>
      </c>
      <c r="G11" s="8" t="n">
        <f aca="false">IF(AND(ISNUMBER(E11),ISNUMBER(F11)),F11/E11,"")</f>
        <v>61</v>
      </c>
      <c r="H11" s="4" t="s">
        <v>100</v>
      </c>
      <c r="I11" s="33" t="s">
        <v>123</v>
      </c>
      <c r="J11" s="34"/>
      <c r="K11" s="35"/>
      <c r="L11" s="10"/>
      <c r="M11" s="8" t="n">
        <f aca="false">IF(ISNUMBER(L11),L11,G11)</f>
        <v>61</v>
      </c>
    </row>
    <row r="12" customFormat="false" ht="15" hidden="false" customHeight="false" outlineLevel="0" collapsed="false">
      <c r="A12" s="6" t="s">
        <v>124</v>
      </c>
      <c r="B12" s="4" t="s">
        <v>108</v>
      </c>
      <c r="C12" s="4" t="s">
        <v>118</v>
      </c>
      <c r="D12" s="4" t="s">
        <v>125</v>
      </c>
      <c r="E12" s="31" t="n">
        <v>1</v>
      </c>
      <c r="F12" s="32" t="n">
        <v>65</v>
      </c>
      <c r="G12" s="8" t="n">
        <f aca="false">IF(AND(ISNUMBER(E12),ISNUMBER(F12)),F12/E12,"")</f>
        <v>65</v>
      </c>
      <c r="H12" s="4" t="s">
        <v>95</v>
      </c>
      <c r="I12" s="33" t="s">
        <v>126</v>
      </c>
      <c r="J12" s="34"/>
      <c r="K12" s="35"/>
      <c r="L12" s="10"/>
      <c r="M12" s="8" t="n">
        <f aca="false">IF(ISNUMBER(L12),L12,G12)</f>
        <v>65</v>
      </c>
    </row>
    <row r="13" customFormat="false" ht="15" hidden="false" customHeight="false" outlineLevel="0" collapsed="false">
      <c r="A13" s="6" t="s">
        <v>127</v>
      </c>
      <c r="B13" s="4" t="s">
        <v>108</v>
      </c>
      <c r="C13" s="4" t="s">
        <v>118</v>
      </c>
      <c r="D13" s="4" t="s">
        <v>128</v>
      </c>
      <c r="E13" s="31" t="n">
        <v>1</v>
      </c>
      <c r="F13" s="32" t="n">
        <v>56.25</v>
      </c>
      <c r="G13" s="8" t="n">
        <f aca="false">IF(AND(ISNUMBER(E13),ISNUMBER(F13)),F13/E13,"")</f>
        <v>56.25</v>
      </c>
      <c r="H13" s="4" t="s">
        <v>129</v>
      </c>
      <c r="I13" s="33" t="s">
        <v>130</v>
      </c>
      <c r="J13" s="34"/>
      <c r="K13" s="35"/>
      <c r="L13" s="10"/>
      <c r="M13" s="8" t="n">
        <f aca="false">IF(ISNUMBER(L13),L13,G13)</f>
        <v>56.25</v>
      </c>
    </row>
    <row r="14" customFormat="false" ht="15" hidden="false" customHeight="false" outlineLevel="0" collapsed="false">
      <c r="A14" s="6" t="s">
        <v>131</v>
      </c>
      <c r="B14" s="4" t="s">
        <v>108</v>
      </c>
      <c r="C14" s="4" t="s">
        <v>132</v>
      </c>
      <c r="D14" s="4" t="s">
        <v>133</v>
      </c>
      <c r="E14" s="31" t="n">
        <v>1</v>
      </c>
      <c r="F14" s="32" t="n">
        <v>27.97</v>
      </c>
      <c r="G14" s="8" t="n">
        <f aca="false">IF(AND(ISNUMBER(E14),ISNUMBER(F14)),F14/E14,"")</f>
        <v>27.97</v>
      </c>
      <c r="H14" s="4" t="s">
        <v>134</v>
      </c>
      <c r="I14" s="33" t="s">
        <v>135</v>
      </c>
      <c r="J14" s="34"/>
      <c r="K14" s="35"/>
      <c r="L14" s="10"/>
      <c r="M14" s="8" t="n">
        <f aca="false">IF(ISNUMBER(L14),L14,G14)</f>
        <v>27.97</v>
      </c>
    </row>
    <row r="15" customFormat="false" ht="15" hidden="false" customHeight="false" outlineLevel="0" collapsed="false">
      <c r="A15" s="6" t="s">
        <v>136</v>
      </c>
      <c r="B15" s="4" t="s">
        <v>108</v>
      </c>
      <c r="C15" s="4" t="s">
        <v>109</v>
      </c>
      <c r="D15" s="4" t="s">
        <v>137</v>
      </c>
      <c r="E15" s="31" t="n">
        <v>5</v>
      </c>
      <c r="F15" s="32" t="n">
        <v>224.8</v>
      </c>
      <c r="G15" s="8" t="n">
        <f aca="false">IF(AND(ISNUMBER(E15),ISNUMBER(F15)),F15/E15,"")</f>
        <v>44.96</v>
      </c>
      <c r="H15" s="4" t="s">
        <v>138</v>
      </c>
      <c r="I15" s="33" t="s">
        <v>139</v>
      </c>
      <c r="J15" s="34"/>
      <c r="K15" s="35"/>
      <c r="L15" s="10"/>
      <c r="M15" s="8" t="n">
        <f aca="false">IF(ISNUMBER(L15),L15,G15)</f>
        <v>44.96</v>
      </c>
    </row>
    <row r="16" customFormat="false" ht="15" hidden="false" customHeight="false" outlineLevel="0" collapsed="false">
      <c r="A16" s="6" t="s">
        <v>140</v>
      </c>
      <c r="B16" s="4" t="s">
        <v>108</v>
      </c>
      <c r="C16" s="4" t="s">
        <v>114</v>
      </c>
      <c r="D16" s="4" t="s">
        <v>141</v>
      </c>
      <c r="E16" s="31" t="n">
        <v>0.48</v>
      </c>
      <c r="F16" s="32" t="n">
        <v>320.25</v>
      </c>
      <c r="G16" s="8" t="n">
        <f aca="false">IF(AND(ISNUMBER(E16),ISNUMBER(F16)),F16/E16,"")</f>
        <v>667.1875</v>
      </c>
      <c r="H16" s="4" t="s">
        <v>111</v>
      </c>
      <c r="I16" s="33" t="s">
        <v>142</v>
      </c>
      <c r="J16" s="34"/>
      <c r="K16" s="35"/>
      <c r="L16" s="10"/>
      <c r="M16" s="8" t="n">
        <f aca="false">IF(ISNUMBER(L16),L16,G16)</f>
        <v>667.1875</v>
      </c>
    </row>
    <row r="17" customFormat="false" ht="15" hidden="false" customHeight="false" outlineLevel="0" collapsed="false">
      <c r="A17" s="6" t="s">
        <v>143</v>
      </c>
      <c r="B17" s="4" t="s">
        <v>108</v>
      </c>
      <c r="C17" s="4" t="s">
        <v>109</v>
      </c>
      <c r="D17" s="4" t="s">
        <v>144</v>
      </c>
      <c r="E17" s="31" t="n">
        <v>1</v>
      </c>
      <c r="F17" s="32" t="n">
        <v>498</v>
      </c>
      <c r="G17" s="8" t="n">
        <f aca="false">IF(AND(ISNUMBER(E17),ISNUMBER(F17)),F17/E17,"")</f>
        <v>498</v>
      </c>
      <c r="H17" s="4" t="s">
        <v>145</v>
      </c>
      <c r="I17" s="33" t="s">
        <v>146</v>
      </c>
      <c r="J17" s="34"/>
      <c r="K17" s="35"/>
      <c r="L17" s="10"/>
      <c r="M17" s="8" t="n">
        <f aca="false">IF(ISNUMBER(L17),L17,G17)</f>
        <v>498</v>
      </c>
    </row>
    <row r="18" customFormat="false" ht="15" hidden="false" customHeight="false" outlineLevel="0" collapsed="false">
      <c r="A18" s="6" t="s">
        <v>147</v>
      </c>
      <c r="B18" s="4" t="s">
        <v>148</v>
      </c>
      <c r="C18" s="4" t="s">
        <v>149</v>
      </c>
      <c r="D18" s="4" t="s">
        <v>150</v>
      </c>
      <c r="E18" s="31" t="n">
        <v>11.33980925</v>
      </c>
      <c r="F18" s="32" t="n">
        <v>399.96</v>
      </c>
      <c r="G18" s="8" t="n">
        <f aca="false">IF(AND(ISNUMBER(E18),ISNUMBER(F18)),F18/E18,"")</f>
        <v>35.2704345533855</v>
      </c>
      <c r="H18" s="4" t="s">
        <v>151</v>
      </c>
      <c r="I18" s="33" t="s">
        <v>152</v>
      </c>
      <c r="J18" s="34"/>
      <c r="K18" s="35"/>
      <c r="L18" s="10"/>
      <c r="M18" s="8" t="n">
        <f aca="false">IF(ISNUMBER(L18),L18,G18)</f>
        <v>35.2704345533855</v>
      </c>
    </row>
    <row r="19" customFormat="false" ht="15" hidden="false" customHeight="false" outlineLevel="0" collapsed="false">
      <c r="A19" s="6" t="s">
        <v>153</v>
      </c>
      <c r="B19" s="4" t="s">
        <v>148</v>
      </c>
      <c r="C19" s="4" t="s">
        <v>149</v>
      </c>
      <c r="D19" s="4" t="s">
        <v>150</v>
      </c>
      <c r="E19" s="31" t="n">
        <v>11.33980925</v>
      </c>
      <c r="F19" s="32" t="n">
        <v>160</v>
      </c>
      <c r="G19" s="8" t="n">
        <f aca="false">IF(AND(ISNUMBER(E19),ISNUMBER(F19)),F19/E19,"")</f>
        <v>14.1095847798322</v>
      </c>
      <c r="H19" s="4" t="s">
        <v>100</v>
      </c>
      <c r="I19" s="33" t="s">
        <v>154</v>
      </c>
      <c r="J19" s="34"/>
      <c r="K19" s="35"/>
      <c r="L19" s="10"/>
      <c r="M19" s="8" t="n">
        <f aca="false">IF(ISNUMBER(L19),L19,G19)</f>
        <v>14.1095847798322</v>
      </c>
    </row>
    <row r="20" customFormat="false" ht="15" hidden="false" customHeight="false" outlineLevel="0" collapsed="false">
      <c r="A20" s="6" t="s">
        <v>155</v>
      </c>
      <c r="B20" s="4" t="s">
        <v>148</v>
      </c>
      <c r="C20" s="4" t="s">
        <v>149</v>
      </c>
      <c r="D20" s="4" t="s">
        <v>150</v>
      </c>
      <c r="E20" s="31" t="n">
        <v>11.33980925</v>
      </c>
      <c r="F20" s="32" t="n">
        <v>1809.95</v>
      </c>
      <c r="G20" s="8" t="n">
        <f aca="false">IF(AND(ISNUMBER(E20),ISNUMBER(F20)),F20/E20,"")</f>
        <v>159.610268576608</v>
      </c>
      <c r="H20" s="4" t="s">
        <v>100</v>
      </c>
      <c r="I20" s="33" t="s">
        <v>156</v>
      </c>
      <c r="J20" s="34"/>
      <c r="K20" s="35"/>
      <c r="L20" s="10"/>
      <c r="M20" s="8" t="n">
        <f aca="false">IF(ISNUMBER(L20),L20,G20)</f>
        <v>159.610268576608</v>
      </c>
    </row>
    <row r="21" customFormat="false" ht="15" hidden="false" customHeight="false" outlineLevel="0" collapsed="false">
      <c r="A21" s="6" t="s">
        <v>157</v>
      </c>
      <c r="B21" s="4" t="s">
        <v>148</v>
      </c>
      <c r="C21" s="4" t="s">
        <v>149</v>
      </c>
      <c r="D21" s="4" t="s">
        <v>150</v>
      </c>
      <c r="E21" s="31" t="n">
        <v>11.33980925</v>
      </c>
      <c r="F21" s="32" t="n">
        <v>393.94</v>
      </c>
      <c r="G21" s="8" t="n">
        <f aca="false">IF(AND(ISNUMBER(E21),ISNUMBER(F21)),F21/E21,"")</f>
        <v>34.7395614260443</v>
      </c>
      <c r="H21" s="4" t="s">
        <v>111</v>
      </c>
      <c r="I21" s="33" t="s">
        <v>158</v>
      </c>
      <c r="J21" s="34"/>
      <c r="K21" s="35"/>
      <c r="L21" s="10"/>
      <c r="M21" s="8" t="n">
        <f aca="false">IF(ISNUMBER(L21),L21,G21)</f>
        <v>34.7395614260443</v>
      </c>
    </row>
    <row r="22" customFormat="false" ht="15" hidden="false" customHeight="false" outlineLevel="0" collapsed="false">
      <c r="A22" s="6" t="s">
        <v>159</v>
      </c>
      <c r="B22" s="4" t="s">
        <v>148</v>
      </c>
      <c r="C22" s="4" t="s">
        <v>149</v>
      </c>
      <c r="D22" s="4" t="s">
        <v>150</v>
      </c>
      <c r="E22" s="31" t="n">
        <v>11.33980925</v>
      </c>
      <c r="F22" s="32" t="n">
        <v>518</v>
      </c>
      <c r="G22" s="8" t="n">
        <f aca="false">IF(AND(ISNUMBER(E22),ISNUMBER(F22)),F22/E22,"")</f>
        <v>45.6797807247066</v>
      </c>
      <c r="H22" s="4" t="s">
        <v>100</v>
      </c>
      <c r="I22" s="33" t="s">
        <v>160</v>
      </c>
      <c r="J22" s="34"/>
      <c r="K22" s="35"/>
      <c r="L22" s="10"/>
      <c r="M22" s="8" t="n">
        <f aca="false">IF(ISNUMBER(L22),L22,G22)</f>
        <v>45.6797807247066</v>
      </c>
    </row>
    <row r="23" customFormat="false" ht="15" hidden="false" customHeight="false" outlineLevel="0" collapsed="false">
      <c r="A23" s="6" t="s">
        <v>161</v>
      </c>
      <c r="B23" s="4" t="s">
        <v>148</v>
      </c>
      <c r="C23" s="4" t="s">
        <v>149</v>
      </c>
      <c r="D23" s="4" t="s">
        <v>150</v>
      </c>
      <c r="E23" s="31" t="n">
        <v>11.33980925</v>
      </c>
      <c r="F23" s="32" t="n">
        <v>480.01</v>
      </c>
      <c r="G23" s="8" t="n">
        <f aca="false">IF(AND(ISNUMBER(E23),ISNUMBER(F23)),F23/E23,"")</f>
        <v>42.3296361885452</v>
      </c>
      <c r="H23" s="4" t="s">
        <v>95</v>
      </c>
      <c r="I23" s="33" t="s">
        <v>162</v>
      </c>
      <c r="J23" s="34"/>
      <c r="K23" s="35"/>
      <c r="L23" s="10"/>
      <c r="M23" s="8" t="n">
        <f aca="false">IF(ISNUMBER(L23),L23,G23)</f>
        <v>42.3296361885452</v>
      </c>
    </row>
    <row r="24" customFormat="false" ht="15" hidden="false" customHeight="false" outlineLevel="0" collapsed="false">
      <c r="A24" s="6" t="s">
        <v>163</v>
      </c>
      <c r="B24" s="4" t="s">
        <v>148</v>
      </c>
      <c r="C24" s="4" t="s">
        <v>149</v>
      </c>
      <c r="D24" s="4" t="s">
        <v>150</v>
      </c>
      <c r="E24" s="31" t="n">
        <v>11.33980925</v>
      </c>
      <c r="F24" s="32" t="n">
        <v>1032.94</v>
      </c>
      <c r="G24" s="8" t="n">
        <f aca="false">IF(AND(ISNUMBER(E24),ISNUMBER(F24)),F24/E24,"")</f>
        <v>91.089715640499</v>
      </c>
      <c r="H24" s="4" t="s">
        <v>105</v>
      </c>
      <c r="I24" s="33" t="s">
        <v>164</v>
      </c>
      <c r="J24" s="34"/>
      <c r="K24" s="35"/>
      <c r="L24" s="10"/>
      <c r="M24" s="8" t="n">
        <f aca="false">IF(ISNUMBER(L24),L24,G24)</f>
        <v>91.089715640499</v>
      </c>
    </row>
    <row r="25" customFormat="false" ht="15" hidden="false" customHeight="false" outlineLevel="0" collapsed="false">
      <c r="A25" s="6" t="s">
        <v>165</v>
      </c>
      <c r="B25" s="4" t="s">
        <v>148</v>
      </c>
      <c r="C25" s="4" t="s">
        <v>149</v>
      </c>
      <c r="D25" s="4" t="s">
        <v>150</v>
      </c>
      <c r="E25" s="31" t="n">
        <v>11.33980925</v>
      </c>
      <c r="F25" s="32" t="n">
        <v>592.96</v>
      </c>
      <c r="G25" s="8" t="n">
        <f aca="false">IF(AND(ISNUMBER(E25),ISNUMBER(F25)),F25/E25,"")</f>
        <v>52.290121194058</v>
      </c>
      <c r="H25" s="4" t="s">
        <v>134</v>
      </c>
      <c r="I25" s="33" t="s">
        <v>166</v>
      </c>
      <c r="J25" s="34"/>
      <c r="K25" s="35"/>
      <c r="L25" s="10"/>
      <c r="M25" s="8" t="n">
        <f aca="false">IF(ISNUMBER(L25),L25,G25)</f>
        <v>52.290121194058</v>
      </c>
    </row>
    <row r="26" customFormat="false" ht="15" hidden="false" customHeight="false" outlineLevel="0" collapsed="false">
      <c r="A26" s="6" t="s">
        <v>167</v>
      </c>
      <c r="B26" s="4" t="s">
        <v>148</v>
      </c>
      <c r="C26" s="4" t="s">
        <v>149</v>
      </c>
      <c r="D26" s="4" t="s">
        <v>150</v>
      </c>
      <c r="E26" s="31" t="n">
        <v>11.33980925</v>
      </c>
      <c r="F26" s="32" t="n">
        <v>1313.94</v>
      </c>
      <c r="G26" s="8" t="n">
        <f aca="false">IF(AND(ISNUMBER(E26),ISNUMBER(F26)),F26/E26,"")</f>
        <v>115.869673910079</v>
      </c>
      <c r="H26" s="4" t="s">
        <v>111</v>
      </c>
      <c r="I26" s="33" t="s">
        <v>168</v>
      </c>
      <c r="J26" s="34"/>
      <c r="K26" s="35"/>
      <c r="L26" s="10"/>
      <c r="M26" s="8" t="n">
        <f aca="false">IF(ISNUMBER(L26),L26,G26)</f>
        <v>115.869673910079</v>
      </c>
    </row>
    <row r="27" customFormat="false" ht="15" hidden="false" customHeight="false" outlineLevel="0" collapsed="false">
      <c r="A27" s="6" t="s">
        <v>169</v>
      </c>
      <c r="B27" s="4" t="s">
        <v>148</v>
      </c>
      <c r="C27" s="4" t="s">
        <v>149</v>
      </c>
      <c r="D27" s="4" t="s">
        <v>150</v>
      </c>
      <c r="E27" s="31" t="n">
        <v>11.33980925</v>
      </c>
      <c r="F27" s="32" t="n">
        <v>483.98</v>
      </c>
      <c r="G27" s="8" t="n">
        <f aca="false">IF(AND(ISNUMBER(E27),ISNUMBER(F27)),F27/E27,"")</f>
        <v>42.6797302608948</v>
      </c>
      <c r="H27" s="4" t="s">
        <v>134</v>
      </c>
      <c r="I27" s="33" t="s">
        <v>170</v>
      </c>
      <c r="J27" s="34"/>
      <c r="K27" s="35"/>
      <c r="L27" s="10"/>
      <c r="M27" s="8" t="n">
        <f aca="false">IF(ISNUMBER(L27),L27,G27)</f>
        <v>42.6797302608948</v>
      </c>
    </row>
    <row r="28" customFormat="false" ht="15" hidden="false" customHeight="false" outlineLevel="0" collapsed="false">
      <c r="A28" s="6" t="s">
        <v>171</v>
      </c>
      <c r="B28" s="4" t="s">
        <v>148</v>
      </c>
      <c r="C28" s="4" t="s">
        <v>149</v>
      </c>
      <c r="D28" s="4" t="s">
        <v>150</v>
      </c>
      <c r="E28" s="31" t="n">
        <v>11.33980925</v>
      </c>
      <c r="F28" s="32" t="n">
        <v>674.95</v>
      </c>
      <c r="G28" s="8" t="n">
        <f aca="false">IF(AND(ISNUMBER(E28),ISNUMBER(F28)),F28/E28,"")</f>
        <v>59.5204015446733</v>
      </c>
      <c r="H28" s="4" t="s">
        <v>95</v>
      </c>
      <c r="I28" s="33" t="s">
        <v>172</v>
      </c>
      <c r="J28" s="34"/>
      <c r="K28" s="35"/>
      <c r="L28" s="10"/>
      <c r="M28" s="8" t="n">
        <f aca="false">IF(ISNUMBER(L28),L28,G28)</f>
        <v>59.5204015446733</v>
      </c>
    </row>
    <row r="30" customFormat="false" ht="15" hidden="false" customHeight="false" outlineLevel="0" collapsed="false">
      <c r="A30" s="19" t="s">
        <v>173</v>
      </c>
    </row>
  </sheetData>
  <dataValidations count="1">
    <dataValidation allowBlank="true" errorStyle="stop" operator="between" showDropDown="false" showErrorMessage="false" showInputMessage="false" sqref="J5:J28" type="list">
      <formula1>"Y,N"</formula1>
      <formula2>0</formula2>
    </dataValidation>
  </dataValidations>
  <hyperlinks>
    <hyperlink ref="I5" r:id="rId1" display="https://enviilabs.com/soothing-and-hydrating-body-lotion-gallon"/>
    <hyperlink ref="I6" r:id="rId2" display="https://organic-creations.com/product/aloe-vera-gel/"/>
    <hyperlink ref="I7" r:id="rId3" display="https://www.rainshadowlabs.com/products/40017"/>
    <hyperlink ref="I8" r:id="rId4" display="https://www.makingcosmetics.com/HUM-ALLA-01.html"/>
    <hyperlink ref="I9" r:id="rId5" display="https://www.lotioncrafter.com/products/argireline-np"/>
    <hyperlink ref="I10" r:id="rId6" display="https://www.formulatorsampleshop.com/products/bakuchiol"/>
    <hyperlink ref="I11" r:id="rId7" display="https://www.formulatorsampleshop.com/products/fss-cucumber-extract-g-pf"/>
    <hyperlink ref="I12" r:id="rId8" display="https://www.formulatorsampleshop.com/products/fss-green-tea-extract-pf"/>
    <hyperlink ref="I13" r:id="rId9" display="https://www.formulatorsampleshop.com/products/fss-licorice-root-extract-pf"/>
    <hyperlink ref="I14" r:id="rId10" display="https://www.bulksupplements.com/products/msm-powder-methylsulfonylmethane"/>
    <hyperlink ref="I15" r:id="rId11" display="https://www.makingcosmetics.com/VIT-NIAC-01.html"/>
    <hyperlink ref="I16" r:id="rId12" display="https://www.lotioncrafter.com/products/lcpeptide-3000"/>
    <hyperlink ref="I17" r:id="rId13" display="https://www.makingcosmetics.com/HUM-HYAL-01.html"/>
    <hyperlink ref="I18" r:id="rId14" display="https://wholesalebotanics.com/products/avocado-oil"/>
    <hyperlink ref="I19" r:id="rId15" display="https://wholesalebotanics.com/products/castor-oil"/>
    <hyperlink ref="I20" r:id="rId16" display="https://wholesalebotanics.com/products/coffee-essential-oil"/>
    <hyperlink ref="I21" r:id="rId17" display="https://wholesalebotanics.com/products/evening-primrose-oil"/>
    <hyperlink ref="I22" r:id="rId18" display="https://wholesalebotanics.com/products/jojoba-oil"/>
    <hyperlink ref="I23" r:id="rId19" display="https://wholesalebotanics.com/products/marula-oil"/>
    <hyperlink ref="I24" r:id="rId20" display="https://wholesalebotanics.com/products/red-raspberry-seed-oil"/>
    <hyperlink ref="I25" r:id="rId21" display="https://wholesalebotanics.com/products/rosehip-oil"/>
    <hyperlink ref="I26" r:id="rId22" display="https://wholesalebotanics.com/products/squalane-oil"/>
    <hyperlink ref="I27" r:id="rId23" display="https://wholesalebotanics.com/products/tamanu-oil"/>
    <hyperlink ref="I28" r:id="rId24" display="https://wholesalebotanics.com/products/vitamin-e-oil"/>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24"/>
    <col collapsed="false" customWidth="true" hidden="false" outlineLevel="0" max="3" min="3" style="0" width="12"/>
    <col collapsed="false" customWidth="true" hidden="false" outlineLevel="0" max="5" min="4" style="0" width="15"/>
    <col collapsed="false" customWidth="true" hidden="false" outlineLevel="0" max="6" min="6" style="0" width="22"/>
    <col collapsed="false" customWidth="true" hidden="false" outlineLevel="0" max="7" min="7" style="0" width="24"/>
  </cols>
  <sheetData>
    <row r="1" customFormat="false" ht="22.05" hidden="false" customHeight="false" outlineLevel="0" collapsed="false">
      <c r="A1" s="1" t="s">
        <v>174</v>
      </c>
    </row>
    <row r="2" customFormat="false" ht="15" hidden="false" customHeight="false" outlineLevel="0" collapsed="false">
      <c r="A2" s="2" t="s">
        <v>175</v>
      </c>
    </row>
    <row r="4" customFormat="false" ht="15" hidden="false" customHeight="false" outlineLevel="0" collapsed="false">
      <c r="A4" s="23" t="s">
        <v>30</v>
      </c>
      <c r="B4" s="24"/>
      <c r="C4" s="24"/>
      <c r="D4" s="24"/>
      <c r="E4" s="24"/>
      <c r="F4" s="24"/>
      <c r="G4" s="24"/>
    </row>
    <row r="5" customFormat="false" ht="30" hidden="false" customHeight="true" outlineLevel="0" collapsed="false">
      <c r="A5" s="5" t="s">
        <v>61</v>
      </c>
      <c r="B5" s="5" t="s">
        <v>62</v>
      </c>
      <c r="C5" s="5" t="s">
        <v>63</v>
      </c>
      <c r="D5" s="5" t="s">
        <v>84</v>
      </c>
      <c r="E5" s="5" t="s">
        <v>176</v>
      </c>
      <c r="F5" s="5" t="s">
        <v>177</v>
      </c>
      <c r="G5" s="5" t="s">
        <v>178</v>
      </c>
    </row>
    <row r="6" customFormat="false" ht="15" hidden="false" customHeight="false" outlineLevel="0" collapsed="false">
      <c r="A6" s="6" t="s">
        <v>167</v>
      </c>
      <c r="B6" s="4" t="s">
        <v>179</v>
      </c>
      <c r="C6" s="36" t="n">
        <v>0.02</v>
      </c>
      <c r="D6" s="8" t="n">
        <f aca="false">IF(ISNUMBER(Ingredients!G26),Ingredients!G26,0)</f>
        <v>115.869673910079</v>
      </c>
      <c r="E6" s="8" t="n">
        <f aca="false">IF(ISNUMBER(Ingredients!M26),Ingredients!M26,0)</f>
        <v>115.869673910079</v>
      </c>
      <c r="F6" s="12" t="n">
        <f aca="false">N(C6)*D6</f>
        <v>2.31739347820158</v>
      </c>
      <c r="G6" s="12" t="n">
        <f aca="false">N(C6)*E6</f>
        <v>2.31739347820158</v>
      </c>
    </row>
    <row r="7" customFormat="false" ht="15" hidden="false" customHeight="false" outlineLevel="0" collapsed="false">
      <c r="A7" s="6" t="s">
        <v>143</v>
      </c>
      <c r="B7" s="4" t="s">
        <v>179</v>
      </c>
      <c r="C7" s="36" t="n">
        <v>0.002</v>
      </c>
      <c r="D7" s="8" t="n">
        <f aca="false">IF(ISNUMBER(Ingredients!G17),Ingredients!G17,0)</f>
        <v>498</v>
      </c>
      <c r="E7" s="8" t="n">
        <f aca="false">IF(ISNUMBER(Ingredients!M17),Ingredients!M17,0)</f>
        <v>498</v>
      </c>
      <c r="F7" s="12" t="n">
        <f aca="false">N(C7)*D7</f>
        <v>0.996</v>
      </c>
      <c r="G7" s="12" t="n">
        <f aca="false">N(C7)*E7</f>
        <v>0.996</v>
      </c>
    </row>
    <row r="8" customFormat="false" ht="15" hidden="false" customHeight="false" outlineLevel="0" collapsed="false">
      <c r="A8" s="6" t="s">
        <v>157</v>
      </c>
      <c r="B8" s="4" t="s">
        <v>179</v>
      </c>
      <c r="C8" s="36" t="n">
        <v>0.01</v>
      </c>
      <c r="D8" s="8" t="n">
        <f aca="false">IF(ISNUMBER(Ingredients!G21),Ingredients!G21,0)</f>
        <v>34.7395614260443</v>
      </c>
      <c r="E8" s="8" t="n">
        <f aca="false">IF(ISNUMBER(Ingredients!M21),Ingredients!M21,0)</f>
        <v>34.7395614260443</v>
      </c>
      <c r="F8" s="12" t="n">
        <f aca="false">N(C8)*D8</f>
        <v>0.347395614260443</v>
      </c>
      <c r="G8" s="12" t="n">
        <f aca="false">N(C8)*E8</f>
        <v>0.347395614260443</v>
      </c>
    </row>
    <row r="9" customFormat="false" ht="15" hidden="false" customHeight="false" outlineLevel="0" collapsed="false">
      <c r="A9" s="6" t="s">
        <v>140</v>
      </c>
      <c r="B9" s="4" t="s">
        <v>179</v>
      </c>
      <c r="C9" s="36" t="n">
        <v>0.03</v>
      </c>
      <c r="D9" s="8" t="n">
        <f aca="false">IF(ISNUMBER(Ingredients!G16),Ingredients!G16,0)</f>
        <v>667.1875</v>
      </c>
      <c r="E9" s="8" t="n">
        <f aca="false">IF(ISNUMBER(Ingredients!M16),Ingredients!M16,0)</f>
        <v>667.1875</v>
      </c>
      <c r="F9" s="12" t="n">
        <f aca="false">N(C9)*D9</f>
        <v>20.015625</v>
      </c>
      <c r="G9" s="12" t="n">
        <f aca="false">N(C9)*E9</f>
        <v>20.015625</v>
      </c>
    </row>
    <row r="10" customFormat="false" ht="15" hidden="false" customHeight="false" outlineLevel="0" collapsed="false">
      <c r="A10" s="6" t="s">
        <v>107</v>
      </c>
      <c r="B10" s="4" t="s">
        <v>179</v>
      </c>
      <c r="C10" s="36" t="n">
        <v>0.002</v>
      </c>
      <c r="D10" s="8" t="n">
        <f aca="false">IF(ISNUMBER(Ingredients!G8),Ingredients!G8,0)</f>
        <v>63.9</v>
      </c>
      <c r="E10" s="8" t="n">
        <f aca="false">IF(ISNUMBER(Ingredients!M8),Ingredients!M8,0)</f>
        <v>63.9</v>
      </c>
      <c r="F10" s="12" t="n">
        <f aca="false">N(C10)*D10</f>
        <v>0.1278</v>
      </c>
      <c r="G10" s="12" t="n">
        <f aca="false">N(C10)*E10</f>
        <v>0.1278</v>
      </c>
    </row>
    <row r="11" customFormat="false" ht="15" hidden="false" customHeight="false" outlineLevel="0" collapsed="false">
      <c r="A11" s="6" t="s">
        <v>127</v>
      </c>
      <c r="B11" s="4" t="s">
        <v>179</v>
      </c>
      <c r="C11" s="36" t="n">
        <v>0.005</v>
      </c>
      <c r="D11" s="8" t="n">
        <f aca="false">IF(ISNUMBER(Ingredients!G13),Ingredients!G13,0)</f>
        <v>56.25</v>
      </c>
      <c r="E11" s="8" t="n">
        <f aca="false">IF(ISNUMBER(Ingredients!M13),Ingredients!M13,0)</f>
        <v>56.25</v>
      </c>
      <c r="F11" s="12" t="n">
        <f aca="false">N(C11)*D11</f>
        <v>0.28125</v>
      </c>
      <c r="G11" s="12" t="n">
        <f aca="false">N(C11)*E11</f>
        <v>0.28125</v>
      </c>
    </row>
    <row r="12" customFormat="false" ht="15" hidden="false" customHeight="false" outlineLevel="0" collapsed="false">
      <c r="A12" s="6" t="s">
        <v>102</v>
      </c>
      <c r="B12" s="4" t="s">
        <v>180</v>
      </c>
      <c r="C12" s="25" t="n">
        <f aca="false">1-SUM(C6:C11)</f>
        <v>0.931</v>
      </c>
      <c r="D12" s="8" t="n">
        <f aca="false">Ingredients!G7</f>
        <v>8.84979130342896</v>
      </c>
      <c r="E12" s="8" t="n">
        <f aca="false">Ingredients!M7</f>
        <v>8.84979130342896</v>
      </c>
      <c r="F12" s="12" t="n">
        <f aca="false">C12*D12</f>
        <v>8.23915570349237</v>
      </c>
      <c r="G12" s="12" t="n">
        <f aca="false">C12*E12</f>
        <v>8.23915570349237</v>
      </c>
    </row>
    <row r="13" customFormat="false" ht="15" hidden="false" customHeight="false" outlineLevel="0" collapsed="false">
      <c r="A13" s="3" t="s">
        <v>181</v>
      </c>
      <c r="B13" s="20"/>
      <c r="C13" s="20"/>
      <c r="D13" s="20"/>
      <c r="E13" s="20"/>
      <c r="F13" s="9" t="n">
        <f aca="false">SUM(F6:F12)</f>
        <v>32.3246197959544</v>
      </c>
      <c r="G13" s="9" t="n">
        <f aca="false">SUM(G6:G12)</f>
        <v>32.3246197959544</v>
      </c>
    </row>
    <row r="16" customFormat="false" ht="15" hidden="false" customHeight="false" outlineLevel="0" collapsed="false">
      <c r="A16" s="23" t="s">
        <v>40</v>
      </c>
      <c r="B16" s="24"/>
      <c r="C16" s="24"/>
      <c r="D16" s="24"/>
      <c r="E16" s="24"/>
      <c r="F16" s="24"/>
      <c r="G16" s="24"/>
    </row>
    <row r="17" customFormat="false" ht="30" hidden="false" customHeight="true" outlineLevel="0" collapsed="false">
      <c r="A17" s="5" t="s">
        <v>61</v>
      </c>
      <c r="B17" s="5" t="s">
        <v>62</v>
      </c>
      <c r="C17" s="5" t="s">
        <v>63</v>
      </c>
      <c r="D17" s="5" t="s">
        <v>84</v>
      </c>
      <c r="E17" s="5" t="s">
        <v>176</v>
      </c>
      <c r="F17" s="5" t="s">
        <v>177</v>
      </c>
      <c r="G17" s="5" t="s">
        <v>178</v>
      </c>
    </row>
    <row r="18" customFormat="false" ht="15" hidden="false" customHeight="false" outlineLevel="0" collapsed="false">
      <c r="A18" s="6" t="s">
        <v>165</v>
      </c>
      <c r="B18" s="4" t="s">
        <v>179</v>
      </c>
      <c r="C18" s="36" t="n">
        <v>0.01</v>
      </c>
      <c r="D18" s="8" t="n">
        <f aca="false">IF(ISNUMBER(Ingredients!G25),Ingredients!G25,0)</f>
        <v>52.290121194058</v>
      </c>
      <c r="E18" s="8" t="n">
        <f aca="false">IF(ISNUMBER(Ingredients!M25),Ingredients!M25,0)</f>
        <v>52.290121194058</v>
      </c>
      <c r="F18" s="12" t="n">
        <f aca="false">N(C18)*D18</f>
        <v>0.52290121194058</v>
      </c>
      <c r="G18" s="12" t="n">
        <f aca="false">N(C18)*E18</f>
        <v>0.52290121194058</v>
      </c>
    </row>
    <row r="19" customFormat="false" ht="15" hidden="false" customHeight="false" outlineLevel="0" collapsed="false">
      <c r="A19" s="6" t="s">
        <v>169</v>
      </c>
      <c r="B19" s="4" t="s">
        <v>179</v>
      </c>
      <c r="C19" s="36" t="n">
        <v>0.01</v>
      </c>
      <c r="D19" s="8" t="n">
        <f aca="false">IF(ISNUMBER(Ingredients!G27),Ingredients!G27,0)</f>
        <v>42.6797302608948</v>
      </c>
      <c r="E19" s="8" t="n">
        <f aca="false">IF(ISNUMBER(Ingredients!M27),Ingredients!M27,0)</f>
        <v>42.6797302608948</v>
      </c>
      <c r="F19" s="12" t="n">
        <f aca="false">N(C19)*D19</f>
        <v>0.426797302608948</v>
      </c>
      <c r="G19" s="12" t="n">
        <f aca="false">N(C19)*E19</f>
        <v>0.426797302608948</v>
      </c>
    </row>
    <row r="20" customFormat="false" ht="15" hidden="false" customHeight="false" outlineLevel="0" collapsed="false">
      <c r="A20" s="6" t="s">
        <v>136</v>
      </c>
      <c r="B20" s="4" t="s">
        <v>179</v>
      </c>
      <c r="C20" s="36" t="n">
        <v>0.02</v>
      </c>
      <c r="D20" s="8" t="n">
        <f aca="false">IF(ISNUMBER(Ingredients!G15),Ingredients!G15,0)</f>
        <v>44.96</v>
      </c>
      <c r="E20" s="8" t="n">
        <f aca="false">IF(ISNUMBER(Ingredients!M15),Ingredients!M15,0)</f>
        <v>44.96</v>
      </c>
      <c r="F20" s="12" t="n">
        <f aca="false">N(C20)*D20</f>
        <v>0.8992</v>
      </c>
      <c r="G20" s="12" t="n">
        <f aca="false">N(C20)*E20</f>
        <v>0.8992</v>
      </c>
    </row>
    <row r="21" customFormat="false" ht="15" hidden="false" customHeight="false" outlineLevel="0" collapsed="false">
      <c r="A21" s="6" t="s">
        <v>131</v>
      </c>
      <c r="B21" s="4" t="s">
        <v>179</v>
      </c>
      <c r="C21" s="36" t="n">
        <v>0.01</v>
      </c>
      <c r="D21" s="8" t="n">
        <f aca="false">IF(ISNUMBER(Ingredients!G14),Ingredients!G14,0)</f>
        <v>27.97</v>
      </c>
      <c r="E21" s="8" t="n">
        <f aca="false">IF(ISNUMBER(Ingredients!M14),Ingredients!M14,0)</f>
        <v>27.97</v>
      </c>
      <c r="F21" s="12" t="n">
        <f aca="false">N(C21)*D21</f>
        <v>0.2797</v>
      </c>
      <c r="G21" s="12" t="n">
        <f aca="false">N(C21)*E21</f>
        <v>0.2797</v>
      </c>
    </row>
    <row r="22" customFormat="false" ht="15" hidden="false" customHeight="false" outlineLevel="0" collapsed="false">
      <c r="A22" s="6" t="s">
        <v>102</v>
      </c>
      <c r="B22" s="4" t="s">
        <v>180</v>
      </c>
      <c r="C22" s="25" t="n">
        <f aca="false">1-SUM(C18:C21)</f>
        <v>0.95</v>
      </c>
      <c r="D22" s="8" t="n">
        <f aca="false">Ingredients!G7</f>
        <v>8.84979130342896</v>
      </c>
      <c r="E22" s="8" t="n">
        <f aca="false">Ingredients!M7</f>
        <v>8.84979130342896</v>
      </c>
      <c r="F22" s="12" t="n">
        <f aca="false">C22*D22</f>
        <v>8.40730173825751</v>
      </c>
      <c r="G22" s="12" t="n">
        <f aca="false">C22*E22</f>
        <v>8.40730173825751</v>
      </c>
    </row>
    <row r="23" customFormat="false" ht="15" hidden="false" customHeight="false" outlineLevel="0" collapsed="false">
      <c r="A23" s="3" t="s">
        <v>181</v>
      </c>
      <c r="B23" s="20"/>
      <c r="C23" s="20"/>
      <c r="D23" s="20"/>
      <c r="E23" s="20"/>
      <c r="F23" s="9" t="n">
        <f aca="false">SUM(F18:F22)</f>
        <v>10.535900252807</v>
      </c>
      <c r="G23" s="9" t="n">
        <f aca="false">SUM(G18:G22)</f>
        <v>10.535900252807</v>
      </c>
    </row>
    <row r="26" customFormat="false" ht="15" hidden="false" customHeight="false" outlineLevel="0" collapsed="false">
      <c r="A26" s="23" t="s">
        <v>41</v>
      </c>
      <c r="B26" s="24"/>
      <c r="C26" s="24"/>
      <c r="D26" s="24"/>
      <c r="E26" s="24"/>
      <c r="F26" s="24"/>
      <c r="G26" s="24"/>
    </row>
    <row r="27" customFormat="false" ht="30" hidden="false" customHeight="true" outlineLevel="0" collapsed="false">
      <c r="A27" s="5" t="s">
        <v>61</v>
      </c>
      <c r="B27" s="5" t="s">
        <v>62</v>
      </c>
      <c r="C27" s="5" t="s">
        <v>63</v>
      </c>
      <c r="D27" s="5" t="s">
        <v>84</v>
      </c>
      <c r="E27" s="5" t="s">
        <v>176</v>
      </c>
      <c r="F27" s="5" t="s">
        <v>177</v>
      </c>
      <c r="G27" s="5" t="s">
        <v>178</v>
      </c>
    </row>
    <row r="28" customFormat="false" ht="15" hidden="false" customHeight="false" outlineLevel="0" collapsed="false">
      <c r="A28" s="6" t="s">
        <v>161</v>
      </c>
      <c r="B28" s="4" t="s">
        <v>179</v>
      </c>
      <c r="C28" s="36" t="n">
        <v>0.01</v>
      </c>
      <c r="D28" s="8" t="n">
        <f aca="false">IF(ISNUMBER(Ingredients!G23),Ingredients!G23,0)</f>
        <v>42.3296361885452</v>
      </c>
      <c r="E28" s="8" t="n">
        <f aca="false">IF(ISNUMBER(Ingredients!M23),Ingredients!M23,0)</f>
        <v>42.3296361885452</v>
      </c>
      <c r="F28" s="12" t="n">
        <f aca="false">N(C28)*D28</f>
        <v>0.423296361885452</v>
      </c>
      <c r="G28" s="12" t="n">
        <f aca="false">N(C28)*E28</f>
        <v>0.423296361885452</v>
      </c>
    </row>
    <row r="29" customFormat="false" ht="15" hidden="false" customHeight="false" outlineLevel="0" collapsed="false">
      <c r="A29" s="6" t="s">
        <v>127</v>
      </c>
      <c r="B29" s="4" t="s">
        <v>179</v>
      </c>
      <c r="C29" s="36" t="n">
        <v>0.005</v>
      </c>
      <c r="D29" s="8" t="n">
        <f aca="false">IF(ISNUMBER(Ingredients!G13),Ingredients!G13,0)</f>
        <v>56.25</v>
      </c>
      <c r="E29" s="8" t="n">
        <f aca="false">IF(ISNUMBER(Ingredients!M13),Ingredients!M13,0)</f>
        <v>56.25</v>
      </c>
      <c r="F29" s="12" t="n">
        <f aca="false">N(C29)*D29</f>
        <v>0.28125</v>
      </c>
      <c r="G29" s="12" t="n">
        <f aca="false">N(C29)*E29</f>
        <v>0.28125</v>
      </c>
    </row>
    <row r="30" customFormat="false" ht="15" hidden="false" customHeight="false" outlineLevel="0" collapsed="false">
      <c r="A30" s="6" t="s">
        <v>124</v>
      </c>
      <c r="B30" s="4" t="s">
        <v>179</v>
      </c>
      <c r="C30" s="36" t="n">
        <v>0.005</v>
      </c>
      <c r="D30" s="8" t="n">
        <f aca="false">IF(ISNUMBER(Ingredients!G12),Ingredients!G12,0)</f>
        <v>65</v>
      </c>
      <c r="E30" s="8" t="n">
        <f aca="false">IF(ISNUMBER(Ingredients!M12),Ingredients!M12,0)</f>
        <v>65</v>
      </c>
      <c r="F30" s="12" t="n">
        <f aca="false">N(C30)*D30</f>
        <v>0.325</v>
      </c>
      <c r="G30" s="12" t="n">
        <f aca="false">N(C30)*E30</f>
        <v>0.325</v>
      </c>
    </row>
    <row r="31" customFormat="false" ht="15" hidden="false" customHeight="false" outlineLevel="0" collapsed="false">
      <c r="A31" s="6" t="s">
        <v>171</v>
      </c>
      <c r="B31" s="4" t="s">
        <v>179</v>
      </c>
      <c r="C31" s="36" t="n">
        <v>0.005</v>
      </c>
      <c r="D31" s="8" t="n">
        <f aca="false">IF(ISNUMBER(Ingredients!G28),Ingredients!G28,0)</f>
        <v>59.5204015446733</v>
      </c>
      <c r="E31" s="8" t="n">
        <f aca="false">IF(ISNUMBER(Ingredients!M28),Ingredients!M28,0)</f>
        <v>59.5204015446733</v>
      </c>
      <c r="F31" s="12" t="n">
        <f aca="false">N(C31)*D31</f>
        <v>0.297602007723366</v>
      </c>
      <c r="G31" s="12" t="n">
        <f aca="false">N(C31)*E31</f>
        <v>0.297602007723366</v>
      </c>
    </row>
    <row r="32" customFormat="false" ht="15" hidden="false" customHeight="false" outlineLevel="0" collapsed="false">
      <c r="A32" s="6" t="s">
        <v>117</v>
      </c>
      <c r="B32" s="4" t="s">
        <v>179</v>
      </c>
      <c r="C32" s="36" t="n">
        <v>0.005</v>
      </c>
      <c r="D32" s="8" t="n">
        <f aca="false">IF(ISNUMBER(Ingredients!G10),Ingredients!G10,0)</f>
        <v>1300</v>
      </c>
      <c r="E32" s="8" t="n">
        <f aca="false">IF(ISNUMBER(Ingredients!M10),Ingredients!M10,0)</f>
        <v>1300</v>
      </c>
      <c r="F32" s="12" t="n">
        <f aca="false">N(C32)*D32</f>
        <v>6.5</v>
      </c>
      <c r="G32" s="12" t="n">
        <f aca="false">N(C32)*E32</f>
        <v>6.5</v>
      </c>
    </row>
    <row r="33" customFormat="false" ht="15" hidden="false" customHeight="false" outlineLevel="0" collapsed="false">
      <c r="A33" s="6" t="s">
        <v>143</v>
      </c>
      <c r="B33" s="4" t="s">
        <v>179</v>
      </c>
      <c r="C33" s="36" t="n">
        <v>0.001</v>
      </c>
      <c r="D33" s="8" t="n">
        <f aca="false">IF(ISNUMBER(Ingredients!G17),Ingredients!G17,0)</f>
        <v>498</v>
      </c>
      <c r="E33" s="8" t="n">
        <f aca="false">IF(ISNUMBER(Ingredients!M17),Ingredients!M17,0)</f>
        <v>498</v>
      </c>
      <c r="F33" s="12" t="n">
        <f aca="false">N(C33)*D33</f>
        <v>0.498</v>
      </c>
      <c r="G33" s="12" t="n">
        <f aca="false">N(C33)*E33</f>
        <v>0.498</v>
      </c>
    </row>
    <row r="34" customFormat="false" ht="15" hidden="false" customHeight="false" outlineLevel="0" collapsed="false">
      <c r="A34" s="6" t="s">
        <v>91</v>
      </c>
      <c r="B34" s="4" t="s">
        <v>180</v>
      </c>
      <c r="C34" s="25" t="n">
        <f aca="false">1-SUM(C28:C33)</f>
        <v>0.969</v>
      </c>
      <c r="D34" s="8" t="n">
        <f aca="false">Ingredients!G5</f>
        <v>35.667107001321</v>
      </c>
      <c r="E34" s="8" t="n">
        <f aca="false">Ingredients!M5</f>
        <v>35.667107001321</v>
      </c>
      <c r="F34" s="12" t="n">
        <f aca="false">C34*D34</f>
        <v>34.5614266842801</v>
      </c>
      <c r="G34" s="12" t="n">
        <f aca="false">C34*E34</f>
        <v>34.5614266842801</v>
      </c>
    </row>
    <row r="35" customFormat="false" ht="15" hidden="false" customHeight="false" outlineLevel="0" collapsed="false">
      <c r="A35" s="3" t="s">
        <v>181</v>
      </c>
      <c r="B35" s="20"/>
      <c r="C35" s="20"/>
      <c r="D35" s="20"/>
      <c r="E35" s="20"/>
      <c r="F35" s="9" t="n">
        <f aca="false">SUM(F28:F34)</f>
        <v>42.8865750538889</v>
      </c>
      <c r="G35" s="9" t="n">
        <f aca="false">SUM(G28:G34)</f>
        <v>42.8865750538889</v>
      </c>
    </row>
    <row r="38" customFormat="false" ht="15" hidden="false" customHeight="false" outlineLevel="0" collapsed="false">
      <c r="A38" s="23" t="s">
        <v>42</v>
      </c>
      <c r="B38" s="24"/>
      <c r="C38" s="24"/>
      <c r="D38" s="24"/>
      <c r="E38" s="24"/>
      <c r="F38" s="24"/>
      <c r="G38" s="24"/>
    </row>
    <row r="39" customFormat="false" ht="30" hidden="false" customHeight="true" outlineLevel="0" collapsed="false">
      <c r="A39" s="5" t="s">
        <v>61</v>
      </c>
      <c r="B39" s="5" t="s">
        <v>62</v>
      </c>
      <c r="C39" s="5" t="s">
        <v>63</v>
      </c>
      <c r="D39" s="5" t="s">
        <v>84</v>
      </c>
      <c r="E39" s="5" t="s">
        <v>176</v>
      </c>
      <c r="F39" s="5" t="s">
        <v>177</v>
      </c>
      <c r="G39" s="5" t="s">
        <v>178</v>
      </c>
    </row>
    <row r="40" customFormat="false" ht="15" hidden="false" customHeight="false" outlineLevel="0" collapsed="false">
      <c r="A40" s="6" t="s">
        <v>153</v>
      </c>
      <c r="B40" s="4" t="s">
        <v>179</v>
      </c>
      <c r="C40" s="36" t="n">
        <v>0.03</v>
      </c>
      <c r="D40" s="8" t="n">
        <f aca="false">IF(ISNUMBER(Ingredients!G19),Ingredients!G19,0)</f>
        <v>14.1095847798322</v>
      </c>
      <c r="E40" s="8" t="n">
        <f aca="false">IF(ISNUMBER(Ingredients!M19),Ingredients!M19,0)</f>
        <v>14.1095847798322</v>
      </c>
      <c r="F40" s="12" t="n">
        <f aca="false">N(C40)*D40</f>
        <v>0.423287543394965</v>
      </c>
      <c r="G40" s="12" t="n">
        <f aca="false">N(C40)*E40</f>
        <v>0.423287543394965</v>
      </c>
    </row>
    <row r="41" customFormat="false" ht="15" hidden="false" customHeight="false" outlineLevel="0" collapsed="false">
      <c r="A41" s="6" t="s">
        <v>159</v>
      </c>
      <c r="B41" s="4" t="s">
        <v>179</v>
      </c>
      <c r="C41" s="36" t="n">
        <v>0.02</v>
      </c>
      <c r="D41" s="8" t="n">
        <f aca="false">IF(ISNUMBER(Ingredients!G22),Ingredients!G22,0)</f>
        <v>45.6797807247066</v>
      </c>
      <c r="E41" s="8" t="n">
        <f aca="false">IF(ISNUMBER(Ingredients!M22),Ingredients!M22,0)</f>
        <v>45.6797807247066</v>
      </c>
      <c r="F41" s="12" t="n">
        <f aca="false">N(C41)*D41</f>
        <v>0.913595614494133</v>
      </c>
      <c r="G41" s="12" t="n">
        <f aca="false">N(C41)*E41</f>
        <v>0.913595614494133</v>
      </c>
    </row>
    <row r="42" customFormat="false" ht="15" hidden="false" customHeight="false" outlineLevel="0" collapsed="false">
      <c r="A42" s="6" t="s">
        <v>147</v>
      </c>
      <c r="B42" s="4" t="s">
        <v>179</v>
      </c>
      <c r="C42" s="36" t="n">
        <v>0.02</v>
      </c>
      <c r="D42" s="8" t="n">
        <f aca="false">IF(ISNUMBER(Ingredients!G18),Ingredients!G18,0)</f>
        <v>35.2704345533855</v>
      </c>
      <c r="E42" s="8" t="n">
        <f aca="false">IF(ISNUMBER(Ingredients!M18),Ingredients!M18,0)</f>
        <v>35.2704345533855</v>
      </c>
      <c r="F42" s="12" t="n">
        <f aca="false">N(C42)*D42</f>
        <v>0.705408691067709</v>
      </c>
      <c r="G42" s="12" t="n">
        <f aca="false">N(C42)*E42</f>
        <v>0.705408691067709</v>
      </c>
    </row>
    <row r="43" customFormat="false" ht="15" hidden="false" customHeight="false" outlineLevel="0" collapsed="false">
      <c r="A43" s="6" t="s">
        <v>155</v>
      </c>
      <c r="B43" s="4" t="s">
        <v>179</v>
      </c>
      <c r="C43" s="36" t="n">
        <v>0.0025</v>
      </c>
      <c r="D43" s="8" t="n">
        <f aca="false">IF(ISNUMBER(Ingredients!G20),Ingredients!G20,0)</f>
        <v>159.610268576608</v>
      </c>
      <c r="E43" s="8" t="n">
        <f aca="false">IF(ISNUMBER(Ingredients!M20),Ingredients!M20,0)</f>
        <v>159.610268576608</v>
      </c>
      <c r="F43" s="12" t="n">
        <f aca="false">N(C43)*D43</f>
        <v>0.399025671441519</v>
      </c>
      <c r="G43" s="12" t="n">
        <f aca="false">N(C43)*E43</f>
        <v>0.399025671441519</v>
      </c>
    </row>
    <row r="44" customFormat="false" ht="15" hidden="false" customHeight="false" outlineLevel="0" collapsed="false">
      <c r="A44" s="6" t="s">
        <v>113</v>
      </c>
      <c r="B44" s="4" t="s">
        <v>179</v>
      </c>
      <c r="C44" s="36" t="n">
        <v>0.05</v>
      </c>
      <c r="D44" s="8" t="n">
        <f aca="false">IF(ISNUMBER(Ingredients!G9),Ingredients!G9,0)</f>
        <v>697.395833333333</v>
      </c>
      <c r="E44" s="8" t="n">
        <f aca="false">IF(ISNUMBER(Ingredients!M9),Ingredients!M9,0)</f>
        <v>697.395833333333</v>
      </c>
      <c r="F44" s="12" t="n">
        <f aca="false">N(C44)*D44</f>
        <v>34.8697916666667</v>
      </c>
      <c r="G44" s="12" t="n">
        <f aca="false">N(C44)*E44</f>
        <v>34.8697916666667</v>
      </c>
    </row>
    <row r="45" customFormat="false" ht="15" hidden="false" customHeight="false" outlineLevel="0" collapsed="false">
      <c r="A45" s="6" t="s">
        <v>143</v>
      </c>
      <c r="B45" s="4" t="s">
        <v>179</v>
      </c>
      <c r="C45" s="36" t="n">
        <v>0.001</v>
      </c>
      <c r="D45" s="8" t="n">
        <f aca="false">IF(ISNUMBER(Ingredients!G17),Ingredients!G17,0)</f>
        <v>498</v>
      </c>
      <c r="E45" s="8" t="n">
        <f aca="false">IF(ISNUMBER(Ingredients!M17),Ingredients!M17,0)</f>
        <v>498</v>
      </c>
      <c r="F45" s="12" t="n">
        <f aca="false">N(C45)*D45</f>
        <v>0.498</v>
      </c>
      <c r="G45" s="12" t="n">
        <f aca="false">N(C45)*E45</f>
        <v>0.498</v>
      </c>
    </row>
    <row r="46" customFormat="false" ht="15" hidden="false" customHeight="false" outlineLevel="0" collapsed="false">
      <c r="A46" s="6" t="s">
        <v>121</v>
      </c>
      <c r="B46" s="4" t="s">
        <v>179</v>
      </c>
      <c r="C46" s="36" t="n">
        <v>0.01</v>
      </c>
      <c r="D46" s="8" t="n">
        <f aca="false">IF(ISNUMBER(Ingredients!G11),Ingredients!G11,0)</f>
        <v>61</v>
      </c>
      <c r="E46" s="8" t="n">
        <f aca="false">IF(ISNUMBER(Ingredients!M11),Ingredients!M11,0)</f>
        <v>61</v>
      </c>
      <c r="F46" s="12" t="n">
        <f aca="false">N(C46)*D46</f>
        <v>0.61</v>
      </c>
      <c r="G46" s="12" t="n">
        <f aca="false">N(C46)*E46</f>
        <v>0.61</v>
      </c>
    </row>
    <row r="47" customFormat="false" ht="15" hidden="false" customHeight="false" outlineLevel="0" collapsed="false">
      <c r="A47" s="6" t="s">
        <v>127</v>
      </c>
      <c r="B47" s="4" t="s">
        <v>179</v>
      </c>
      <c r="C47" s="36" t="n">
        <v>0.005</v>
      </c>
      <c r="D47" s="8" t="n">
        <f aca="false">IF(ISNUMBER(Ingredients!G13),Ingredients!G13,0)</f>
        <v>56.25</v>
      </c>
      <c r="E47" s="8" t="n">
        <f aca="false">IF(ISNUMBER(Ingredients!M13),Ingredients!M13,0)</f>
        <v>56.25</v>
      </c>
      <c r="F47" s="12" t="n">
        <f aca="false">N(C47)*D47</f>
        <v>0.28125</v>
      </c>
      <c r="G47" s="12" t="n">
        <f aca="false">N(C47)*E47</f>
        <v>0.28125</v>
      </c>
    </row>
    <row r="48" customFormat="false" ht="15" hidden="false" customHeight="false" outlineLevel="0" collapsed="false">
      <c r="A48" s="6" t="s">
        <v>97</v>
      </c>
      <c r="B48" s="4" t="s">
        <v>180</v>
      </c>
      <c r="C48" s="25" t="n">
        <f aca="false">1-SUM(C40:C47)</f>
        <v>0.8615</v>
      </c>
      <c r="D48" s="8" t="n">
        <f aca="false">Ingredients!G6</f>
        <v>7.29194187582563</v>
      </c>
      <c r="E48" s="8" t="n">
        <f aca="false">Ingredients!M6</f>
        <v>7.29194187582563</v>
      </c>
      <c r="F48" s="12" t="n">
        <f aca="false">C48*D48</f>
        <v>6.28200792602378</v>
      </c>
      <c r="G48" s="12" t="n">
        <f aca="false">C48*E48</f>
        <v>6.28200792602378</v>
      </c>
    </row>
    <row r="49" customFormat="false" ht="15" hidden="false" customHeight="false" outlineLevel="0" collapsed="false">
      <c r="A49" s="3" t="s">
        <v>181</v>
      </c>
      <c r="B49" s="20"/>
      <c r="C49" s="20"/>
      <c r="D49" s="20"/>
      <c r="E49" s="20"/>
      <c r="F49" s="9" t="n">
        <f aca="false">SUM(F40:F48)</f>
        <v>44.9823671130888</v>
      </c>
      <c r="G49" s="9" t="n">
        <f aca="false">SUM(G40:G48)</f>
        <v>44.9823671130888</v>
      </c>
    </row>
    <row r="52" customFormat="false" ht="15" hidden="false" customHeight="false" outlineLevel="0" collapsed="false">
      <c r="A52" s="23" t="s">
        <v>43</v>
      </c>
      <c r="B52" s="24"/>
      <c r="C52" s="24"/>
      <c r="D52" s="24"/>
      <c r="E52" s="24"/>
      <c r="F52" s="24"/>
      <c r="G52" s="24"/>
    </row>
    <row r="53" customFormat="false" ht="30" hidden="false" customHeight="true" outlineLevel="0" collapsed="false">
      <c r="A53" s="5" t="s">
        <v>61</v>
      </c>
      <c r="B53" s="5" t="s">
        <v>62</v>
      </c>
      <c r="C53" s="5" t="s">
        <v>63</v>
      </c>
      <c r="D53" s="5" t="s">
        <v>84</v>
      </c>
      <c r="E53" s="5" t="s">
        <v>176</v>
      </c>
      <c r="F53" s="5" t="s">
        <v>177</v>
      </c>
      <c r="G53" s="5" t="s">
        <v>178</v>
      </c>
    </row>
    <row r="54" customFormat="false" ht="15" hidden="false" customHeight="false" outlineLevel="0" collapsed="false">
      <c r="A54" s="6" t="s">
        <v>136</v>
      </c>
      <c r="B54" s="4" t="s">
        <v>179</v>
      </c>
      <c r="C54" s="36" t="n">
        <v>0.02</v>
      </c>
      <c r="D54" s="8" t="n">
        <f aca="false">IF(ISNUMBER(Ingredients!G15),Ingredients!G15,0)</f>
        <v>44.96</v>
      </c>
      <c r="E54" s="8" t="n">
        <f aca="false">IF(ISNUMBER(Ingredients!M15),Ingredients!M15,0)</f>
        <v>44.96</v>
      </c>
      <c r="F54" s="12" t="n">
        <f aca="false">N(C54)*D54</f>
        <v>0.8992</v>
      </c>
      <c r="G54" s="12" t="n">
        <f aca="false">N(C54)*E54</f>
        <v>0.8992</v>
      </c>
    </row>
    <row r="55" customFormat="false" ht="15" hidden="false" customHeight="false" outlineLevel="0" collapsed="false">
      <c r="A55" s="6" t="s">
        <v>143</v>
      </c>
      <c r="B55" s="4" t="s">
        <v>179</v>
      </c>
      <c r="C55" s="36" t="n">
        <v>0.002</v>
      </c>
      <c r="D55" s="8" t="n">
        <f aca="false">IF(ISNUMBER(Ingredients!G17),Ingredients!G17,0)</f>
        <v>498</v>
      </c>
      <c r="E55" s="8" t="n">
        <f aca="false">IF(ISNUMBER(Ingredients!M17),Ingredients!M17,0)</f>
        <v>498</v>
      </c>
      <c r="F55" s="12" t="n">
        <f aca="false">N(C55)*D55</f>
        <v>0.996</v>
      </c>
      <c r="G55" s="12" t="n">
        <f aca="false">N(C55)*E55</f>
        <v>0.996</v>
      </c>
    </row>
    <row r="56" customFormat="false" ht="15" hidden="false" customHeight="false" outlineLevel="0" collapsed="false">
      <c r="A56" s="6" t="s">
        <v>147</v>
      </c>
      <c r="B56" s="4" t="s">
        <v>179</v>
      </c>
      <c r="C56" s="36" t="n">
        <v>0.005</v>
      </c>
      <c r="D56" s="8" t="n">
        <f aca="false">IF(ISNUMBER(Ingredients!G18),Ingredients!G18,0)</f>
        <v>35.2704345533855</v>
      </c>
      <c r="E56" s="8" t="n">
        <f aca="false">IF(ISNUMBER(Ingredients!M18),Ingredients!M18,0)</f>
        <v>35.2704345533855</v>
      </c>
      <c r="F56" s="12" t="n">
        <f aca="false">N(C56)*D56</f>
        <v>0.176352172766927</v>
      </c>
      <c r="G56" s="12" t="n">
        <f aca="false">N(C56)*E56</f>
        <v>0.176352172766927</v>
      </c>
    </row>
    <row r="57" customFormat="false" ht="15" hidden="false" customHeight="false" outlineLevel="0" collapsed="false">
      <c r="A57" s="6" t="s">
        <v>163</v>
      </c>
      <c r="B57" s="4" t="s">
        <v>179</v>
      </c>
      <c r="C57" s="36" t="n">
        <v>0.005</v>
      </c>
      <c r="D57" s="8" t="n">
        <f aca="false">IF(ISNUMBER(Ingredients!G24),Ingredients!G24,0)</f>
        <v>91.089715640499</v>
      </c>
      <c r="E57" s="8" t="n">
        <f aca="false">IF(ISNUMBER(Ingredients!M24),Ingredients!M24,0)</f>
        <v>91.089715640499</v>
      </c>
      <c r="F57" s="12" t="n">
        <f aca="false">N(C57)*D57</f>
        <v>0.455448578202495</v>
      </c>
      <c r="G57" s="12" t="n">
        <f aca="false">N(C57)*E57</f>
        <v>0.455448578202495</v>
      </c>
    </row>
    <row r="58" customFormat="false" ht="15" hidden="false" customHeight="false" outlineLevel="0" collapsed="false">
      <c r="A58" s="6" t="s">
        <v>102</v>
      </c>
      <c r="B58" s="4" t="s">
        <v>180</v>
      </c>
      <c r="C58" s="25" t="n">
        <f aca="false">1-SUM(C54:C57)</f>
        <v>0.968</v>
      </c>
      <c r="D58" s="8" t="n">
        <f aca="false">Ingredients!G7</f>
        <v>8.84979130342896</v>
      </c>
      <c r="E58" s="8" t="n">
        <f aca="false">Ingredients!M7</f>
        <v>8.84979130342896</v>
      </c>
      <c r="F58" s="12" t="n">
        <f aca="false">C58*D58</f>
        <v>8.56659798171924</v>
      </c>
      <c r="G58" s="12" t="n">
        <f aca="false">C58*E58</f>
        <v>8.56659798171924</v>
      </c>
    </row>
    <row r="59" customFormat="false" ht="15" hidden="false" customHeight="false" outlineLevel="0" collapsed="false">
      <c r="A59" s="3" t="s">
        <v>181</v>
      </c>
      <c r="B59" s="20"/>
      <c r="C59" s="20"/>
      <c r="D59" s="20"/>
      <c r="E59" s="20"/>
      <c r="F59" s="9" t="n">
        <f aca="false">SUM(F54:F58)</f>
        <v>11.0935987326887</v>
      </c>
      <c r="G59" s="9" t="n">
        <f aca="false">SUM(G54:G58)</f>
        <v>11.0935987326887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9"/>
    <col collapsed="false" customWidth="true" hidden="false" outlineLevel="0" max="2" min="2" style="0" width="46"/>
    <col collapsed="false" customWidth="true" hidden="false" outlineLevel="0" max="3" min="3" style="0" width="40"/>
    <col collapsed="false" customWidth="true" hidden="false" outlineLevel="0" max="4" min="4" style="0" width="14"/>
    <col collapsed="false" customWidth="true" hidden="false" outlineLevel="0" max="5" min="5" style="0" width="11"/>
    <col collapsed="false" customWidth="true" hidden="false" outlineLevel="0" max="6" min="6" style="0" width="16"/>
    <col collapsed="false" customWidth="true" hidden="false" outlineLevel="0" max="7" min="7" style="0" width="15"/>
    <col collapsed="false" customWidth="true" hidden="false" outlineLevel="0" max="8" min="8" style="0" width="52"/>
    <col collapsed="false" customWidth="true" hidden="false" outlineLevel="0" max="9" min="9" style="0" width="56"/>
  </cols>
  <sheetData>
    <row r="1" customFormat="false" ht="22.05" hidden="false" customHeight="false" outlineLevel="0" collapsed="false">
      <c r="A1" s="1" t="s">
        <v>182</v>
      </c>
    </row>
    <row r="2" customFormat="false" ht="15" hidden="false" customHeight="false" outlineLevel="0" collapsed="false">
      <c r="A2" s="2" t="s">
        <v>183</v>
      </c>
    </row>
    <row r="4" customFormat="false" ht="39.75" hidden="false" customHeight="true" outlineLevel="0" collapsed="false">
      <c r="A4" s="5" t="s">
        <v>19</v>
      </c>
      <c r="B4" s="5" t="s">
        <v>184</v>
      </c>
      <c r="C4" s="5" t="s">
        <v>185</v>
      </c>
      <c r="D4" s="5" t="s">
        <v>186</v>
      </c>
      <c r="E4" s="5" t="s">
        <v>187</v>
      </c>
      <c r="F4" s="5" t="s">
        <v>188</v>
      </c>
      <c r="G4" s="5" t="s">
        <v>189</v>
      </c>
      <c r="H4" s="5" t="s">
        <v>86</v>
      </c>
      <c r="I4" s="5" t="s">
        <v>48</v>
      </c>
    </row>
    <row r="5" customFormat="false" ht="42" hidden="false" customHeight="true" outlineLevel="0" collapsed="false">
      <c r="A5" s="6" t="s">
        <v>31</v>
      </c>
      <c r="B5" s="4" t="s">
        <v>190</v>
      </c>
      <c r="C5" s="4" t="s">
        <v>191</v>
      </c>
      <c r="D5" s="32" t="n">
        <v>0.8</v>
      </c>
      <c r="E5" s="37" t="n">
        <v>0.264</v>
      </c>
      <c r="F5" s="10"/>
      <c r="G5" s="8" t="n">
        <f aca="false">IF(ISNUMBER(F5),F5,D5+E5)</f>
        <v>1.064</v>
      </c>
      <c r="H5" s="33" t="s">
        <v>192</v>
      </c>
      <c r="I5" s="14" t="s">
        <v>193</v>
      </c>
    </row>
    <row r="6" customFormat="false" ht="42" hidden="false" customHeight="true" outlineLevel="0" collapsed="false">
      <c r="A6" s="6" t="s">
        <v>32</v>
      </c>
      <c r="B6" s="4" t="s">
        <v>194</v>
      </c>
      <c r="C6" s="4" t="s">
        <v>195</v>
      </c>
      <c r="D6" s="32" t="n">
        <v>0.8</v>
      </c>
      <c r="E6" s="37" t="n">
        <v>0.264</v>
      </c>
      <c r="F6" s="10"/>
      <c r="G6" s="8" t="n">
        <f aca="false">IF(ISNUMBER(F6),F6,D6+E6)</f>
        <v>1.064</v>
      </c>
      <c r="H6" s="33" t="s">
        <v>192</v>
      </c>
      <c r="I6" s="14" t="s">
        <v>196</v>
      </c>
    </row>
    <row r="7" customFormat="false" ht="42" hidden="false" customHeight="true" outlineLevel="0" collapsed="false">
      <c r="A7" s="6" t="s">
        <v>33</v>
      </c>
      <c r="B7" s="4" t="s">
        <v>197</v>
      </c>
      <c r="C7" s="4" t="s">
        <v>198</v>
      </c>
      <c r="D7" s="32" t="n">
        <v>0.95</v>
      </c>
      <c r="E7" s="37" t="n">
        <v>0.264</v>
      </c>
      <c r="F7" s="10"/>
      <c r="G7" s="8" t="n">
        <f aca="false">IF(ISNUMBER(F7),F7,D7+E7)</f>
        <v>1.214</v>
      </c>
      <c r="H7" s="33" t="s">
        <v>199</v>
      </c>
      <c r="I7" s="14" t="s">
        <v>200</v>
      </c>
    </row>
    <row r="8" customFormat="false" ht="42" hidden="false" customHeight="true" outlineLevel="0" collapsed="false">
      <c r="A8" s="6" t="s">
        <v>34</v>
      </c>
      <c r="B8" s="4" t="s">
        <v>201</v>
      </c>
      <c r="C8" s="4" t="s">
        <v>202</v>
      </c>
      <c r="D8" s="32" t="n">
        <v>0.97</v>
      </c>
      <c r="E8" s="37" t="n">
        <v>0.264</v>
      </c>
      <c r="F8" s="10"/>
      <c r="G8" s="8" t="n">
        <f aca="false">IF(ISNUMBER(F8),F8,D8+E8)</f>
        <v>1.234</v>
      </c>
      <c r="H8" s="33" t="s">
        <v>203</v>
      </c>
      <c r="I8" s="14" t="s">
        <v>204</v>
      </c>
    </row>
    <row r="9" customFormat="false" ht="42" hidden="false" customHeight="true" outlineLevel="0" collapsed="false">
      <c r="A9" s="6" t="s">
        <v>35</v>
      </c>
      <c r="B9" s="4" t="s">
        <v>205</v>
      </c>
      <c r="C9" s="4" t="s">
        <v>206</v>
      </c>
      <c r="D9" s="32" t="n">
        <v>1.03</v>
      </c>
      <c r="E9" s="37" t="n">
        <v>0.264</v>
      </c>
      <c r="F9" s="10"/>
      <c r="G9" s="8" t="n">
        <f aca="false">IF(ISNUMBER(F9),F9,D9+E9)</f>
        <v>1.294</v>
      </c>
      <c r="H9" s="33" t="s">
        <v>207</v>
      </c>
      <c r="I9" s="14" t="s">
        <v>208</v>
      </c>
    </row>
    <row r="10" customFormat="false" ht="42" hidden="false" customHeight="true" outlineLevel="0" collapsed="false">
      <c r="A10" s="6" t="s">
        <v>36</v>
      </c>
      <c r="B10" s="4" t="s">
        <v>209</v>
      </c>
      <c r="C10" s="4" t="s">
        <v>210</v>
      </c>
      <c r="D10" s="32" t="n">
        <v>4.6</v>
      </c>
      <c r="E10" s="37" t="n">
        <v>0.264</v>
      </c>
      <c r="F10" s="10"/>
      <c r="G10" s="8" t="n">
        <f aca="false">IF(ISNUMBER(F10),F10,D10+E10)</f>
        <v>4.864</v>
      </c>
      <c r="H10" s="33" t="s">
        <v>211</v>
      </c>
      <c r="I10" s="14" t="s">
        <v>212</v>
      </c>
    </row>
    <row r="11" customFormat="false" ht="42" hidden="false" customHeight="true" outlineLevel="0" collapsed="false">
      <c r="A11" s="6" t="s">
        <v>37</v>
      </c>
      <c r="B11" s="4" t="s">
        <v>213</v>
      </c>
      <c r="C11" s="4" t="s">
        <v>214</v>
      </c>
      <c r="D11" s="32" t="n">
        <v>13.25</v>
      </c>
      <c r="E11" s="37" t="n">
        <v>0.264</v>
      </c>
      <c r="F11" s="10"/>
      <c r="G11" s="8" t="n">
        <f aca="false">IF(ISNUMBER(F11),F11,D11+E11)</f>
        <v>13.514</v>
      </c>
      <c r="H11" s="33" t="s">
        <v>215</v>
      </c>
      <c r="I11" s="14" t="s">
        <v>216</v>
      </c>
    </row>
    <row r="12" customFormat="false" ht="42" hidden="false" customHeight="true" outlineLevel="0" collapsed="false">
      <c r="A12" s="6" t="s">
        <v>38</v>
      </c>
      <c r="B12" s="4" t="s">
        <v>217</v>
      </c>
      <c r="C12" s="4" t="s">
        <v>218</v>
      </c>
      <c r="D12" s="32" t="n">
        <v>80.07</v>
      </c>
      <c r="E12" s="37" t="n">
        <v>0.264</v>
      </c>
      <c r="F12" s="10"/>
      <c r="G12" s="8" t="n">
        <f aca="false">IF(ISNUMBER(F12),F12,D12+E12)</f>
        <v>80.334</v>
      </c>
      <c r="H12" s="33" t="s">
        <v>219</v>
      </c>
      <c r="I12" s="14" t="s">
        <v>220</v>
      </c>
    </row>
    <row r="13" customFormat="false" ht="42" hidden="false" customHeight="true" outlineLevel="0" collapsed="false">
      <c r="A13" s="6" t="s">
        <v>39</v>
      </c>
      <c r="B13" s="4" t="s">
        <v>221</v>
      </c>
      <c r="C13" s="4" t="s">
        <v>222</v>
      </c>
      <c r="D13" s="32" t="n">
        <v>79</v>
      </c>
      <c r="E13" s="37" t="n">
        <v>0.264</v>
      </c>
      <c r="F13" s="10"/>
      <c r="G13" s="8" t="n">
        <f aca="false">IF(ISNUMBER(F13),F13,D13+E13)</f>
        <v>79.264</v>
      </c>
      <c r="H13" s="33" t="s">
        <v>223</v>
      </c>
      <c r="I13" s="14" t="s">
        <v>224</v>
      </c>
    </row>
    <row r="14" customFormat="false" ht="15" hidden="false" customHeight="false" outlineLevel="0" collapsed="false">
      <c r="A14" s="19" t="s">
        <v>225</v>
      </c>
    </row>
  </sheetData>
  <hyperlinks>
    <hyperlink ref="H5" r:id="rId1" display="https://www.specialtybottle.com/glass-jars/clear-straight-sided/plastic-lid/1oz-ss1"/>
    <hyperlink ref="H6" r:id="rId2" display="https://www.specialtybottle.com/glass-jars/clear-straight-sided/plastic-lid/1oz-ss1"/>
    <hyperlink ref="H7" r:id="rId3" display="https://www.specialtybottle.com/glass-jars/clear-straight-sided/plastic-lid/2oz-ss2"/>
    <hyperlink ref="H8" r:id="rId4" display="https://www.specialtybottle.com/glass-jars/clear-straight-sided/plastic-lid/4oz-ss4"/>
    <hyperlink ref="H9" r:id="rId5" display="https://www.specialtybottle.com/plastic-jars/clear-pet/square/dome-lids/16oz-psqc16bd"/>
    <hyperlink ref="H10" r:id="rId6" display="https://www.thecarycompany.com/containers/pails"/>
    <hyperlink ref="H11" r:id="rId7" display="https://www.thecarycompany.com/containers/pails/plastic"/>
    <hyperlink ref="H12" r:id="rId8" display="https://www.thecarycompany.com/15-gallon-open-head-plastic-drum-56wt15"/>
    <hyperlink ref="H13" r:id="rId9" display="https://airseacontainers.com/55-gallon-open-head-poly-drum.html"/>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8"/>
    <col collapsed="false" customWidth="true" hidden="false" outlineLevel="0" max="2" min="2" style="0" width="12"/>
    <col collapsed="false" customWidth="true" hidden="false" outlineLevel="0" max="3" min="3" style="0" width="13"/>
    <col collapsed="false" customWidth="true" hidden="false" outlineLevel="0" max="4" min="4" style="0" width="15"/>
    <col collapsed="false" customWidth="true" hidden="false" outlineLevel="0" max="5" min="5" style="0" width="13"/>
    <col collapsed="false" customWidth="true" hidden="false" outlineLevel="0" max="6" min="6" style="0" width="12"/>
    <col collapsed="false" customWidth="true" hidden="false" outlineLevel="0" max="7" min="7" style="0" width="14"/>
    <col collapsed="false" customWidth="true" hidden="false" outlineLevel="0" max="8" min="8" style="0" width="15"/>
  </cols>
  <sheetData>
    <row r="1" customFormat="false" ht="22.05" hidden="false" customHeight="false" outlineLevel="0" collapsed="false">
      <c r="A1" s="1" t="s">
        <v>226</v>
      </c>
    </row>
    <row r="2" customFormat="false" ht="15" hidden="false" customHeight="false" outlineLevel="0" collapsed="false">
      <c r="A2" s="2" t="s">
        <v>227</v>
      </c>
    </row>
    <row r="4" customFormat="false" ht="15" hidden="false" customHeight="false" outlineLevel="0" collapsed="false">
      <c r="A4" s="23" t="s">
        <v>30</v>
      </c>
      <c r="B4" s="24"/>
      <c r="C4" s="24"/>
      <c r="D4" s="24"/>
      <c r="E4" s="24"/>
      <c r="F4" s="24"/>
      <c r="G4" s="24"/>
      <c r="H4" s="24"/>
    </row>
    <row r="5" customFormat="false" ht="30" hidden="false" customHeight="true" outlineLevel="0" collapsed="false">
      <c r="A5" s="5" t="s">
        <v>61</v>
      </c>
      <c r="B5" s="5" t="s">
        <v>228</v>
      </c>
      <c r="C5" s="5" t="s">
        <v>229</v>
      </c>
      <c r="D5" s="5" t="s">
        <v>230</v>
      </c>
      <c r="E5" s="5" t="s">
        <v>82</v>
      </c>
      <c r="F5" s="5" t="s">
        <v>231</v>
      </c>
      <c r="G5" s="5" t="s">
        <v>83</v>
      </c>
      <c r="H5" s="5" t="s">
        <v>232</v>
      </c>
    </row>
    <row r="6" customFormat="false" ht="15" hidden="false" customHeight="false" outlineLevel="0" collapsed="false">
      <c r="A6" s="6" t="str">
        <f aca="false">Formulas!$A$6</f>
        <v>Squalane Oil (Olive)</v>
      </c>
      <c r="B6" s="7" t="n">
        <f aca="false">Formulas!$C$6*Assumptions!$B$7*Assumptions!$B$8*Assumptions!$B$5</f>
        <v>0.378541</v>
      </c>
      <c r="C6" s="7" t="n">
        <f aca="false">N(INDEX(Ingredients!$K$5:$K$28,MATCH(Formulas!$A$6,Ingredients!$A$5:$A$28,0)))</f>
        <v>0</v>
      </c>
      <c r="D6" s="7" t="n">
        <f aca="false">MAX(0,B6-C6)</f>
        <v>0.378541</v>
      </c>
      <c r="E6" s="7" t="n">
        <f aca="false">IFERROR(INDEX(Ingredients!$E$5:$E$28,MATCH(Formulas!$A$6,Ingredients!$A$5:$A$28,0))*1,"")</f>
        <v>11.33980925</v>
      </c>
      <c r="F6" s="38" t="n">
        <f aca="false">IF(AND(D6&gt;0,ISNUMBER(E6)),ROUNDUP(D6/E6,0),0)</f>
        <v>1</v>
      </c>
      <c r="G6" s="8" t="n">
        <f aca="false">IFERROR(INDEX(Ingredients!$F$5:$F$28,MATCH(Formulas!$A$6,Ingredients!$A$5:$A$28,0))*1,"")</f>
        <v>1313.94</v>
      </c>
      <c r="H6" s="8" t="n">
        <f aca="false">IF(ISNUMBER(G6),F6*G6,0)</f>
        <v>1313.94</v>
      </c>
    </row>
    <row r="7" customFormat="false" ht="15" hidden="false" customHeight="false" outlineLevel="0" collapsed="false">
      <c r="A7" s="6" t="str">
        <f aca="false">Formulas!$A$7</f>
        <v>Sodium hyaluronate (hyaluronic acid, HMW)</v>
      </c>
      <c r="B7" s="7" t="n">
        <f aca="false">Formulas!$C$7*Assumptions!$B$7*Assumptions!$B$8*Assumptions!$B$5</f>
        <v>0.0378541</v>
      </c>
      <c r="C7" s="7" t="n">
        <f aca="false">N(INDEX(Ingredients!$K$5:$K$28,MATCH(Formulas!$A$7,Ingredients!$A$5:$A$28,0)))</f>
        <v>0</v>
      </c>
      <c r="D7" s="7" t="n">
        <f aca="false">MAX(0,B7-C7)</f>
        <v>0.0378541</v>
      </c>
      <c r="E7" s="7" t="n">
        <f aca="false">IFERROR(INDEX(Ingredients!$E$5:$E$28,MATCH(Formulas!$A$7,Ingredients!$A$5:$A$28,0))*1,"")</f>
        <v>1</v>
      </c>
      <c r="F7" s="38" t="n">
        <f aca="false">IF(AND(D7&gt;0,ISNUMBER(E7)),ROUNDUP(D7/E7,0),0)</f>
        <v>1</v>
      </c>
      <c r="G7" s="8" t="n">
        <f aca="false">IFERROR(INDEX(Ingredients!$F$5:$F$28,MATCH(Formulas!$A$7,Ingredients!$A$5:$A$28,0))*1,"")</f>
        <v>498</v>
      </c>
      <c r="H7" s="8" t="n">
        <f aca="false">IF(ISNUMBER(G7),F7*G7,0)</f>
        <v>498</v>
      </c>
    </row>
    <row r="8" customFormat="false" ht="15" hidden="false" customHeight="false" outlineLevel="0" collapsed="false">
      <c r="A8" s="6" t="str">
        <f aca="false">Formulas!$A$8</f>
        <v>Evening Primrose Oil</v>
      </c>
      <c r="B8" s="7" t="n">
        <f aca="false">Formulas!$C$8*Assumptions!$B$7*Assumptions!$B$8*Assumptions!$B$5</f>
        <v>0.1892705</v>
      </c>
      <c r="C8" s="7" t="n">
        <f aca="false">N(INDEX(Ingredients!$K$5:$K$28,MATCH(Formulas!$A$8,Ingredients!$A$5:$A$28,0)))</f>
        <v>0</v>
      </c>
      <c r="D8" s="7" t="n">
        <f aca="false">MAX(0,B8-C8)</f>
        <v>0.1892705</v>
      </c>
      <c r="E8" s="7" t="n">
        <f aca="false">IFERROR(INDEX(Ingredients!$E$5:$E$28,MATCH(Formulas!$A$8,Ingredients!$A$5:$A$28,0))*1,"")</f>
        <v>11.33980925</v>
      </c>
      <c r="F8" s="38" t="n">
        <f aca="false">IF(AND(D8&gt;0,ISNUMBER(E8)),ROUNDUP(D8/E8,0),0)</f>
        <v>1</v>
      </c>
      <c r="G8" s="8" t="n">
        <f aca="false">IFERROR(INDEX(Ingredients!$F$5:$F$28,MATCH(Formulas!$A$8,Ingredients!$A$5:$A$28,0))*1,"")</f>
        <v>393.94</v>
      </c>
      <c r="H8" s="8" t="n">
        <f aca="false">IF(ISNUMBER(G8),F8*G8,0)</f>
        <v>393.94</v>
      </c>
    </row>
    <row r="9" customFormat="false" ht="15" hidden="false" customHeight="false" outlineLevel="0" collapsed="false">
      <c r="A9" s="6" t="str">
        <f aca="false">Formulas!$A$9</f>
        <v>Peptide complex (palmitoyl tripeptide-1 + tetrapeptide-7)</v>
      </c>
      <c r="B9" s="7" t="n">
        <f aca="false">Formulas!$C$9*Assumptions!$B$7*Assumptions!$B$8*Assumptions!$B$5</f>
        <v>0.5678115</v>
      </c>
      <c r="C9" s="7" t="n">
        <f aca="false">N(INDEX(Ingredients!$K$5:$K$28,MATCH(Formulas!$A$9,Ingredients!$A$5:$A$28,0)))</f>
        <v>0</v>
      </c>
      <c r="D9" s="7" t="n">
        <f aca="false">MAX(0,B9-C9)</f>
        <v>0.5678115</v>
      </c>
      <c r="E9" s="7" t="n">
        <f aca="false">IFERROR(INDEX(Ingredients!$E$5:$E$28,MATCH(Formulas!$A$9,Ingredients!$A$5:$A$28,0))*1,"")</f>
        <v>0.48</v>
      </c>
      <c r="F9" s="38" t="n">
        <f aca="false">IF(AND(D9&gt;0,ISNUMBER(E9)),ROUNDUP(D9/E9,0),0)</f>
        <v>2</v>
      </c>
      <c r="G9" s="8" t="n">
        <f aca="false">IFERROR(INDEX(Ingredients!$F$5:$F$28,MATCH(Formulas!$A$9,Ingredients!$A$5:$A$28,0))*1,"")</f>
        <v>320.25</v>
      </c>
      <c r="H9" s="8" t="n">
        <f aca="false">IF(ISNUMBER(G9),F9*G9,0)</f>
        <v>640.5</v>
      </c>
    </row>
    <row r="10" customFormat="false" ht="15" hidden="false" customHeight="false" outlineLevel="0" collapsed="false">
      <c r="A10" s="6" t="str">
        <f aca="false">Formulas!$A$10</f>
        <v>Allantoin</v>
      </c>
      <c r="B10" s="7" t="n">
        <f aca="false">Formulas!$C$10*Assumptions!$B$7*Assumptions!$B$8*Assumptions!$B$5</f>
        <v>0.0378541</v>
      </c>
      <c r="C10" s="7" t="n">
        <f aca="false">N(INDEX(Ingredients!$K$5:$K$28,MATCH(Formulas!$A$10,Ingredients!$A$5:$A$28,0)))</f>
        <v>0</v>
      </c>
      <c r="D10" s="7" t="n">
        <f aca="false">MAX(0,B10-C10)</f>
        <v>0.0378541</v>
      </c>
      <c r="E10" s="7" t="n">
        <f aca="false">IFERROR(INDEX(Ingredients!$E$5:$E$28,MATCH(Formulas!$A$10,Ingredients!$A$5:$A$28,0))*1,"")</f>
        <v>1</v>
      </c>
      <c r="F10" s="38" t="n">
        <f aca="false">IF(AND(D10&gt;0,ISNUMBER(E10)),ROUNDUP(D10/E10,0),0)</f>
        <v>1</v>
      </c>
      <c r="G10" s="8" t="n">
        <f aca="false">IFERROR(INDEX(Ingredients!$F$5:$F$28,MATCH(Formulas!$A$10,Ingredients!$A$5:$A$28,0))*1,"")</f>
        <v>63.9</v>
      </c>
      <c r="H10" s="8" t="n">
        <f aca="false">IF(ISNUMBER(G10),F10*G10,0)</f>
        <v>63.9</v>
      </c>
    </row>
    <row r="11" customFormat="false" ht="15" hidden="false" customHeight="false" outlineLevel="0" collapsed="false">
      <c r="A11" s="6" t="str">
        <f aca="false">Formulas!$A$11</f>
        <v>Licorice root extract</v>
      </c>
      <c r="B11" s="7" t="n">
        <f aca="false">Formulas!$C$11*Assumptions!$B$7*Assumptions!$B$8*Assumptions!$B$5</f>
        <v>0.09463525</v>
      </c>
      <c r="C11" s="7" t="n">
        <f aca="false">N(INDEX(Ingredients!$K$5:$K$28,MATCH(Formulas!$A$11,Ingredients!$A$5:$A$28,0)))</f>
        <v>0</v>
      </c>
      <c r="D11" s="7" t="n">
        <f aca="false">MAX(0,B11-C11)</f>
        <v>0.09463525</v>
      </c>
      <c r="E11" s="7" t="n">
        <f aca="false">IFERROR(INDEX(Ingredients!$E$5:$E$28,MATCH(Formulas!$A$11,Ingredients!$A$5:$A$28,0))*1,"")</f>
        <v>1</v>
      </c>
      <c r="F11" s="38" t="n">
        <f aca="false">IF(AND(D11&gt;0,ISNUMBER(E11)),ROUNDUP(D11/E11,0),0)</f>
        <v>1</v>
      </c>
      <c r="G11" s="8" t="n">
        <f aca="false">IFERROR(INDEX(Ingredients!$F$5:$F$28,MATCH(Formulas!$A$11,Ingredients!$A$5:$A$28,0))*1,"")</f>
        <v>56.25</v>
      </c>
      <c r="H11" s="8" t="n">
        <f aca="false">IF(ISNUMBER(G11),F11*G11,0)</f>
        <v>56.25</v>
      </c>
    </row>
    <row r="12" customFormat="false" ht="15" hidden="false" customHeight="false" outlineLevel="0" collapsed="false">
      <c r="A12" s="6" t="str">
        <f aca="false">Formulas!$A$12</f>
        <v>RainShadow Labs — All Purpose Lotion</v>
      </c>
      <c r="B12" s="7" t="n">
        <f aca="false">Formulas!$C$12*Assumptions!$B$7*Assumptions!$B$8*Assumptions!$B$5</f>
        <v>17.62108355</v>
      </c>
      <c r="C12" s="7" t="n">
        <f aca="false">N(INDEX(Ingredients!$K$5:$K$28,MATCH(Formulas!$A$12,Ingredients!$A$5:$A$28,0)))</f>
        <v>0</v>
      </c>
      <c r="D12" s="7" t="n">
        <f aca="false">MAX(0,B12-C12)</f>
        <v>17.62108355</v>
      </c>
      <c r="E12" s="7" t="n">
        <f aca="false">IFERROR(INDEX(Ingredients!$E$5:$E$28,MATCH(Formulas!$A$12,Ingredients!$A$5:$A$28,0))*1,"")</f>
        <v>18.927</v>
      </c>
      <c r="F12" s="38" t="n">
        <f aca="false">IF(AND(D12&gt;0,ISNUMBER(E12)),ROUNDUP(D12/E12,0),0)</f>
        <v>1</v>
      </c>
      <c r="G12" s="8" t="n">
        <f aca="false">IFERROR(INDEX(Ingredients!$F$5:$F$28,MATCH(Formulas!$A$12,Ingredients!$A$5:$A$28,0))*1,"")</f>
        <v>167.5</v>
      </c>
      <c r="H12" s="8" t="n">
        <f aca="false">IF(ISNUMBER(G12),F12*G12,0)</f>
        <v>167.5</v>
      </c>
    </row>
    <row r="13" customFormat="false" ht="15" hidden="false" customHeight="false" outlineLevel="0" collapsed="false">
      <c r="A13" s="3" t="s">
        <v>233</v>
      </c>
      <c r="B13" s="20"/>
      <c r="C13" s="20"/>
      <c r="D13" s="20"/>
      <c r="E13" s="20"/>
      <c r="F13" s="20"/>
      <c r="G13" s="20"/>
      <c r="H13" s="9" t="n">
        <f aca="false">SUM(H6:H12)</f>
        <v>3134.03</v>
      </c>
    </row>
    <row r="16" customFormat="false" ht="15" hidden="false" customHeight="false" outlineLevel="0" collapsed="false">
      <c r="A16" s="23" t="s">
        <v>40</v>
      </c>
      <c r="B16" s="24"/>
      <c r="C16" s="24"/>
      <c r="D16" s="24"/>
      <c r="E16" s="24"/>
      <c r="F16" s="24"/>
      <c r="G16" s="24"/>
      <c r="H16" s="24"/>
    </row>
    <row r="17" customFormat="false" ht="30" hidden="false" customHeight="true" outlineLevel="0" collapsed="false">
      <c r="A17" s="5" t="s">
        <v>61</v>
      </c>
      <c r="B17" s="5" t="s">
        <v>228</v>
      </c>
      <c r="C17" s="5" t="s">
        <v>229</v>
      </c>
      <c r="D17" s="5" t="s">
        <v>230</v>
      </c>
      <c r="E17" s="5" t="s">
        <v>82</v>
      </c>
      <c r="F17" s="5" t="s">
        <v>231</v>
      </c>
      <c r="G17" s="5" t="s">
        <v>83</v>
      </c>
      <c r="H17" s="5" t="s">
        <v>232</v>
      </c>
    </row>
    <row r="18" customFormat="false" ht="15" hidden="false" customHeight="false" outlineLevel="0" collapsed="false">
      <c r="A18" s="6" t="str">
        <f aca="false">Formulas!$A$18</f>
        <v>Rosehip Oil</v>
      </c>
      <c r="B18" s="7" t="n">
        <f aca="false">Formulas!$C$18*Assumptions!$B$7*Assumptions!$B$8*Assumptions!$B$5</f>
        <v>0.1892705</v>
      </c>
      <c r="C18" s="7" t="n">
        <f aca="false">N(INDEX(Ingredients!$K$5:$K$28,MATCH(Formulas!$A$18,Ingredients!$A$5:$A$28,0)))</f>
        <v>0</v>
      </c>
      <c r="D18" s="7" t="n">
        <f aca="false">MAX(0,B18-C18)</f>
        <v>0.1892705</v>
      </c>
      <c r="E18" s="7" t="n">
        <f aca="false">IFERROR(INDEX(Ingredients!$E$5:$E$28,MATCH(Formulas!$A$18,Ingredients!$A$5:$A$28,0))*1,"")</f>
        <v>11.33980925</v>
      </c>
      <c r="F18" s="38" t="n">
        <f aca="false">IF(AND(D18&gt;0,ISNUMBER(E18)),ROUNDUP(D18/E18,0),0)</f>
        <v>1</v>
      </c>
      <c r="G18" s="8" t="n">
        <f aca="false">IFERROR(INDEX(Ingredients!$F$5:$F$28,MATCH(Formulas!$A$18,Ingredients!$A$5:$A$28,0))*1,"")</f>
        <v>592.96</v>
      </c>
      <c r="H18" s="8" t="n">
        <f aca="false">IF(ISNUMBER(G18),F18*G18,0)</f>
        <v>592.96</v>
      </c>
    </row>
    <row r="19" customFormat="false" ht="15" hidden="false" customHeight="false" outlineLevel="0" collapsed="false">
      <c r="A19" s="6" t="str">
        <f aca="false">Formulas!$A$19</f>
        <v>Tamanu Oil</v>
      </c>
      <c r="B19" s="7" t="n">
        <f aca="false">Formulas!$C$19*Assumptions!$B$7*Assumptions!$B$8*Assumptions!$B$5</f>
        <v>0.1892705</v>
      </c>
      <c r="C19" s="7" t="n">
        <f aca="false">N(INDEX(Ingredients!$K$5:$K$28,MATCH(Formulas!$A$19,Ingredients!$A$5:$A$28,0)))</f>
        <v>0</v>
      </c>
      <c r="D19" s="7" t="n">
        <f aca="false">MAX(0,B19-C19)</f>
        <v>0.1892705</v>
      </c>
      <c r="E19" s="7" t="n">
        <f aca="false">IFERROR(INDEX(Ingredients!$E$5:$E$28,MATCH(Formulas!$A$19,Ingredients!$A$5:$A$28,0))*1,"")</f>
        <v>11.33980925</v>
      </c>
      <c r="F19" s="38" t="n">
        <f aca="false">IF(AND(D19&gt;0,ISNUMBER(E19)),ROUNDUP(D19/E19,0),0)</f>
        <v>1</v>
      </c>
      <c r="G19" s="8" t="n">
        <f aca="false">IFERROR(INDEX(Ingredients!$F$5:$F$28,MATCH(Formulas!$A$19,Ingredients!$A$5:$A$28,0))*1,"")</f>
        <v>483.98</v>
      </c>
      <c r="H19" s="8" t="n">
        <f aca="false">IF(ISNUMBER(G19),F19*G19,0)</f>
        <v>483.98</v>
      </c>
    </row>
    <row r="20" customFormat="false" ht="15" hidden="false" customHeight="false" outlineLevel="0" collapsed="false">
      <c r="A20" s="6" t="str">
        <f aca="false">Formulas!$A$20</f>
        <v>Niacinamide</v>
      </c>
      <c r="B20" s="7" t="n">
        <f aca="false">Formulas!$C$20*Assumptions!$B$7*Assumptions!$B$8*Assumptions!$B$5</f>
        <v>0.378541</v>
      </c>
      <c r="C20" s="7" t="n">
        <f aca="false">N(INDEX(Ingredients!$K$5:$K$28,MATCH(Formulas!$A$20,Ingredients!$A$5:$A$28,0)))</f>
        <v>0</v>
      </c>
      <c r="D20" s="7" t="n">
        <f aca="false">MAX(0,B20-C20)</f>
        <v>0.378541</v>
      </c>
      <c r="E20" s="7" t="n">
        <f aca="false">IFERROR(INDEX(Ingredients!$E$5:$E$28,MATCH(Formulas!$A$20,Ingredients!$A$5:$A$28,0))*1,"")</f>
        <v>5</v>
      </c>
      <c r="F20" s="38" t="n">
        <f aca="false">IF(AND(D20&gt;0,ISNUMBER(E20)),ROUNDUP(D20/E20,0),0)</f>
        <v>1</v>
      </c>
      <c r="G20" s="8" t="n">
        <f aca="false">IFERROR(INDEX(Ingredients!$F$5:$F$28,MATCH(Formulas!$A$20,Ingredients!$A$5:$A$28,0))*1,"")</f>
        <v>224.8</v>
      </c>
      <c r="H20" s="8" t="n">
        <f aca="false">IF(ISNUMBER(G20),F20*G20,0)</f>
        <v>224.8</v>
      </c>
    </row>
    <row r="21" customFormat="false" ht="15" hidden="false" customHeight="false" outlineLevel="0" collapsed="false">
      <c r="A21" s="6" t="str">
        <f aca="false">Formulas!$A$21</f>
        <v>MSM (methylsulfonylmethane)</v>
      </c>
      <c r="B21" s="7" t="n">
        <f aca="false">Formulas!$C$21*Assumptions!$B$7*Assumptions!$B$8*Assumptions!$B$5</f>
        <v>0.1892705</v>
      </c>
      <c r="C21" s="7" t="n">
        <f aca="false">N(INDEX(Ingredients!$K$5:$K$28,MATCH(Formulas!$A$21,Ingredients!$A$5:$A$28,0)))</f>
        <v>0</v>
      </c>
      <c r="D21" s="7" t="n">
        <f aca="false">MAX(0,B21-C21)</f>
        <v>0.1892705</v>
      </c>
      <c r="E21" s="7" t="n">
        <f aca="false">IFERROR(INDEX(Ingredients!$E$5:$E$28,MATCH(Formulas!$A$21,Ingredients!$A$5:$A$28,0))*1,"")</f>
        <v>1</v>
      </c>
      <c r="F21" s="38" t="n">
        <f aca="false">IF(AND(D21&gt;0,ISNUMBER(E21)),ROUNDUP(D21/E21,0),0)</f>
        <v>1</v>
      </c>
      <c r="G21" s="8" t="n">
        <f aca="false">IFERROR(INDEX(Ingredients!$F$5:$F$28,MATCH(Formulas!$A$21,Ingredients!$A$5:$A$28,0))*1,"")</f>
        <v>27.97</v>
      </c>
      <c r="H21" s="8" t="n">
        <f aca="false">IF(ISNUMBER(G21),F21*G21,0)</f>
        <v>27.97</v>
      </c>
    </row>
    <row r="22" customFormat="false" ht="15" hidden="false" customHeight="false" outlineLevel="0" collapsed="false">
      <c r="A22" s="6" t="str">
        <f aca="false">Formulas!$A$22</f>
        <v>RainShadow Labs — All Purpose Lotion</v>
      </c>
      <c r="B22" s="7" t="n">
        <f aca="false">Formulas!$C$22*Assumptions!$B$7*Assumptions!$B$8*Assumptions!$B$5</f>
        <v>17.9806975</v>
      </c>
      <c r="C22" s="7" t="n">
        <f aca="false">N(INDEX(Ingredients!$K$5:$K$28,MATCH(Formulas!$A$22,Ingredients!$A$5:$A$28,0)))</f>
        <v>0</v>
      </c>
      <c r="D22" s="7" t="n">
        <f aca="false">MAX(0,B22-C22)</f>
        <v>17.9806975</v>
      </c>
      <c r="E22" s="7" t="n">
        <f aca="false">IFERROR(INDEX(Ingredients!$E$5:$E$28,MATCH(Formulas!$A$22,Ingredients!$A$5:$A$28,0))*1,"")</f>
        <v>18.927</v>
      </c>
      <c r="F22" s="38" t="n">
        <f aca="false">IF(AND(D22&gt;0,ISNUMBER(E22)),ROUNDUP(D22/E22,0),0)</f>
        <v>1</v>
      </c>
      <c r="G22" s="8" t="n">
        <f aca="false">IFERROR(INDEX(Ingredients!$F$5:$F$28,MATCH(Formulas!$A$22,Ingredients!$A$5:$A$28,0))*1,"")</f>
        <v>167.5</v>
      </c>
      <c r="H22" s="8" t="n">
        <f aca="false">IF(ISNUMBER(G22),F22*G22,0)</f>
        <v>167.5</v>
      </c>
    </row>
    <row r="23" customFormat="false" ht="15" hidden="false" customHeight="false" outlineLevel="0" collapsed="false">
      <c r="A23" s="3" t="s">
        <v>233</v>
      </c>
      <c r="B23" s="20"/>
      <c r="C23" s="20"/>
      <c r="D23" s="20"/>
      <c r="E23" s="20"/>
      <c r="F23" s="20"/>
      <c r="G23" s="20"/>
      <c r="H23" s="9" t="n">
        <f aca="false">SUM(H18:H22)</f>
        <v>1497.21</v>
      </c>
    </row>
    <row r="26" customFormat="false" ht="15" hidden="false" customHeight="false" outlineLevel="0" collapsed="false">
      <c r="A26" s="23" t="s">
        <v>41</v>
      </c>
      <c r="B26" s="24"/>
      <c r="C26" s="24"/>
      <c r="D26" s="24"/>
      <c r="E26" s="24"/>
      <c r="F26" s="24"/>
      <c r="G26" s="24"/>
      <c r="H26" s="24"/>
    </row>
    <row r="27" customFormat="false" ht="30" hidden="false" customHeight="true" outlineLevel="0" collapsed="false">
      <c r="A27" s="5" t="s">
        <v>61</v>
      </c>
      <c r="B27" s="5" t="s">
        <v>228</v>
      </c>
      <c r="C27" s="5" t="s">
        <v>229</v>
      </c>
      <c r="D27" s="5" t="s">
        <v>230</v>
      </c>
      <c r="E27" s="5" t="s">
        <v>82</v>
      </c>
      <c r="F27" s="5" t="s">
        <v>231</v>
      </c>
      <c r="G27" s="5" t="s">
        <v>83</v>
      </c>
      <c r="H27" s="5" t="s">
        <v>232</v>
      </c>
    </row>
    <row r="28" customFormat="false" ht="15" hidden="false" customHeight="false" outlineLevel="0" collapsed="false">
      <c r="A28" s="6" t="str">
        <f aca="false">Formulas!$A$28</f>
        <v>Marula Oil</v>
      </c>
      <c r="B28" s="7" t="n">
        <f aca="false">Formulas!$C$28*Assumptions!$B$7*Assumptions!$B$8*Assumptions!$B$5</f>
        <v>0.1892705</v>
      </c>
      <c r="C28" s="7" t="n">
        <f aca="false">N(INDEX(Ingredients!$K$5:$K$28,MATCH(Formulas!$A$28,Ingredients!$A$5:$A$28,0)))</f>
        <v>0</v>
      </c>
      <c r="D28" s="7" t="n">
        <f aca="false">MAX(0,B28-C28)</f>
        <v>0.1892705</v>
      </c>
      <c r="E28" s="7" t="n">
        <f aca="false">IFERROR(INDEX(Ingredients!$E$5:$E$28,MATCH(Formulas!$A$28,Ingredients!$A$5:$A$28,0))*1,"")</f>
        <v>11.33980925</v>
      </c>
      <c r="F28" s="38" t="n">
        <f aca="false">IF(AND(D28&gt;0,ISNUMBER(E28)),ROUNDUP(D28/E28,0),0)</f>
        <v>1</v>
      </c>
      <c r="G28" s="8" t="n">
        <f aca="false">IFERROR(INDEX(Ingredients!$F$5:$F$28,MATCH(Formulas!$A$28,Ingredients!$A$5:$A$28,0))*1,"")</f>
        <v>480.01</v>
      </c>
      <c r="H28" s="8" t="n">
        <f aca="false">IF(ISNUMBER(G28),F28*G28,0)</f>
        <v>480.01</v>
      </c>
    </row>
    <row r="29" customFormat="false" ht="15" hidden="false" customHeight="false" outlineLevel="0" collapsed="false">
      <c r="A29" s="6" t="str">
        <f aca="false">Formulas!$A$29</f>
        <v>Licorice root extract</v>
      </c>
      <c r="B29" s="7" t="n">
        <f aca="false">Formulas!$C$29*Assumptions!$B$7*Assumptions!$B$8*Assumptions!$B$5</f>
        <v>0.09463525</v>
      </c>
      <c r="C29" s="7" t="n">
        <f aca="false">N(INDEX(Ingredients!$K$5:$K$28,MATCH(Formulas!$A$29,Ingredients!$A$5:$A$28,0)))</f>
        <v>0</v>
      </c>
      <c r="D29" s="7" t="n">
        <f aca="false">MAX(0,B29-C29)</f>
        <v>0.09463525</v>
      </c>
      <c r="E29" s="7" t="n">
        <f aca="false">IFERROR(INDEX(Ingredients!$E$5:$E$28,MATCH(Formulas!$A$29,Ingredients!$A$5:$A$28,0))*1,"")</f>
        <v>1</v>
      </c>
      <c r="F29" s="38" t="n">
        <f aca="false">IF(AND(D29&gt;0,ISNUMBER(E29)),ROUNDUP(D29/E29,0),0)</f>
        <v>1</v>
      </c>
      <c r="G29" s="8" t="n">
        <f aca="false">IFERROR(INDEX(Ingredients!$F$5:$F$28,MATCH(Formulas!$A$29,Ingredients!$A$5:$A$28,0))*1,"")</f>
        <v>56.25</v>
      </c>
      <c r="H29" s="8" t="n">
        <f aca="false">IF(ISNUMBER(G29),F29*G29,0)</f>
        <v>56.25</v>
      </c>
    </row>
    <row r="30" customFormat="false" ht="15" hidden="false" customHeight="false" outlineLevel="0" collapsed="false">
      <c r="A30" s="6" t="str">
        <f aca="false">Formulas!$A$30</f>
        <v>Green tea extract</v>
      </c>
      <c r="B30" s="7" t="n">
        <f aca="false">Formulas!$C$30*Assumptions!$B$7*Assumptions!$B$8*Assumptions!$B$5</f>
        <v>0.09463525</v>
      </c>
      <c r="C30" s="7" t="n">
        <f aca="false">N(INDEX(Ingredients!$K$5:$K$28,MATCH(Formulas!$A$30,Ingredients!$A$5:$A$28,0)))</f>
        <v>0</v>
      </c>
      <c r="D30" s="7" t="n">
        <f aca="false">MAX(0,B30-C30)</f>
        <v>0.09463525</v>
      </c>
      <c r="E30" s="7" t="n">
        <f aca="false">IFERROR(INDEX(Ingredients!$E$5:$E$28,MATCH(Formulas!$A$30,Ingredients!$A$5:$A$28,0))*1,"")</f>
        <v>1</v>
      </c>
      <c r="F30" s="38" t="n">
        <f aca="false">IF(AND(D30&gt;0,ISNUMBER(E30)),ROUNDUP(D30/E30,0),0)</f>
        <v>1</v>
      </c>
      <c r="G30" s="8" t="n">
        <f aca="false">IFERROR(INDEX(Ingredients!$F$5:$F$28,MATCH(Formulas!$A$30,Ingredients!$A$5:$A$28,0))*1,"")</f>
        <v>65</v>
      </c>
      <c r="H30" s="8" t="n">
        <f aca="false">IF(ISNUMBER(G30),F30*G30,0)</f>
        <v>65</v>
      </c>
    </row>
    <row r="31" customFormat="false" ht="15" hidden="false" customHeight="false" outlineLevel="0" collapsed="false">
      <c r="A31" s="6" t="str">
        <f aca="false">Formulas!$A$31</f>
        <v>Vitamin E Oil</v>
      </c>
      <c r="B31" s="7" t="n">
        <f aca="false">Formulas!$C$31*Assumptions!$B$7*Assumptions!$B$8*Assumptions!$B$5</f>
        <v>0.09463525</v>
      </c>
      <c r="C31" s="7" t="n">
        <f aca="false">N(INDEX(Ingredients!$K$5:$K$28,MATCH(Formulas!$A$31,Ingredients!$A$5:$A$28,0)))</f>
        <v>0</v>
      </c>
      <c r="D31" s="7" t="n">
        <f aca="false">MAX(0,B31-C31)</f>
        <v>0.09463525</v>
      </c>
      <c r="E31" s="7" t="n">
        <f aca="false">IFERROR(INDEX(Ingredients!$E$5:$E$28,MATCH(Formulas!$A$31,Ingredients!$A$5:$A$28,0))*1,"")</f>
        <v>11.33980925</v>
      </c>
      <c r="F31" s="38" t="n">
        <f aca="false">IF(AND(D31&gt;0,ISNUMBER(E31)),ROUNDUP(D31/E31,0),0)</f>
        <v>1</v>
      </c>
      <c r="G31" s="8" t="n">
        <f aca="false">IFERROR(INDEX(Ingredients!$F$5:$F$28,MATCH(Formulas!$A$31,Ingredients!$A$5:$A$28,0))*1,"")</f>
        <v>674.95</v>
      </c>
      <c r="H31" s="8" t="n">
        <f aca="false">IF(ISNUMBER(G31),F31*G31,0)</f>
        <v>674.95</v>
      </c>
    </row>
    <row r="32" customFormat="false" ht="15" hidden="false" customHeight="false" outlineLevel="0" collapsed="false">
      <c r="A32" s="6" t="str">
        <f aca="false">Formulas!$A$32</f>
        <v>Bakuchiol 99%</v>
      </c>
      <c r="B32" s="7" t="n">
        <f aca="false">Formulas!$C$32*Assumptions!$B$7*Assumptions!$B$8*Assumptions!$B$5</f>
        <v>0.09463525</v>
      </c>
      <c r="C32" s="7" t="n">
        <f aca="false">N(INDEX(Ingredients!$K$5:$K$28,MATCH(Formulas!$A$32,Ingredients!$A$5:$A$28,0)))</f>
        <v>0</v>
      </c>
      <c r="D32" s="7" t="n">
        <f aca="false">MAX(0,B32-C32)</f>
        <v>0.09463525</v>
      </c>
      <c r="E32" s="7" t="n">
        <f aca="false">IFERROR(INDEX(Ingredients!$E$5:$E$28,MATCH(Formulas!$A$32,Ingredients!$A$5:$A$28,0))*1,"")</f>
        <v>1</v>
      </c>
      <c r="F32" s="38" t="n">
        <f aca="false">IF(AND(D32&gt;0,ISNUMBER(E32)),ROUNDUP(D32/E32,0),0)</f>
        <v>1</v>
      </c>
      <c r="G32" s="8" t="n">
        <f aca="false">IFERROR(INDEX(Ingredients!$F$5:$F$28,MATCH(Formulas!$A$32,Ingredients!$A$5:$A$28,0))*1,"")</f>
        <v>1300</v>
      </c>
      <c r="H32" s="8" t="n">
        <f aca="false">IF(ISNUMBER(G32),F32*G32,0)</f>
        <v>1300</v>
      </c>
    </row>
    <row r="33" customFormat="false" ht="15" hidden="false" customHeight="false" outlineLevel="0" collapsed="false">
      <c r="A33" s="6" t="str">
        <f aca="false">Formulas!$A$33</f>
        <v>Sodium hyaluronate (hyaluronic acid, HMW)</v>
      </c>
      <c r="B33" s="7" t="n">
        <f aca="false">Formulas!$C$33*Assumptions!$B$7*Assumptions!$B$8*Assumptions!$B$5</f>
        <v>0.01892705</v>
      </c>
      <c r="C33" s="7" t="n">
        <f aca="false">N(INDEX(Ingredients!$K$5:$K$28,MATCH(Formulas!$A$33,Ingredients!$A$5:$A$28,0)))</f>
        <v>0</v>
      </c>
      <c r="D33" s="7" t="n">
        <f aca="false">MAX(0,B33-C33)</f>
        <v>0.01892705</v>
      </c>
      <c r="E33" s="7" t="n">
        <f aca="false">IFERROR(INDEX(Ingredients!$E$5:$E$28,MATCH(Formulas!$A$33,Ingredients!$A$5:$A$28,0))*1,"")</f>
        <v>1</v>
      </c>
      <c r="F33" s="38" t="n">
        <f aca="false">IF(AND(D33&gt;0,ISNUMBER(E33)),ROUNDUP(D33/E33,0),0)</f>
        <v>1</v>
      </c>
      <c r="G33" s="8" t="n">
        <f aca="false">IFERROR(INDEX(Ingredients!$F$5:$F$28,MATCH(Formulas!$A$33,Ingredients!$A$5:$A$28,0))*1,"")</f>
        <v>498</v>
      </c>
      <c r="H33" s="8" t="n">
        <f aca="false">IF(ISNUMBER(G33),F33*G33,0)</f>
        <v>498</v>
      </c>
    </row>
    <row r="34" customFormat="false" ht="15" hidden="false" customHeight="false" outlineLevel="0" collapsed="false">
      <c r="A34" s="6" t="str">
        <f aca="false">Formulas!$A$34</f>
        <v>Envii Labs — Soothing &amp; Hydrating Body Lotion (Gallon)</v>
      </c>
      <c r="B34" s="7" t="n">
        <f aca="false">Formulas!$C$34*Assumptions!$B$7*Assumptions!$B$8*Assumptions!$B$5</f>
        <v>18.34031145</v>
      </c>
      <c r="C34" s="7" t="n">
        <f aca="false">N(INDEX(Ingredients!$K$5:$K$28,MATCH(Formulas!$A$34,Ingredients!$A$5:$A$28,0)))</f>
        <v>0</v>
      </c>
      <c r="D34" s="7" t="n">
        <f aca="false">MAX(0,B34-C34)</f>
        <v>18.34031145</v>
      </c>
      <c r="E34" s="7" t="n">
        <f aca="false">IFERROR(INDEX(Ingredients!$E$5:$E$28,MATCH(Formulas!$A$34,Ingredients!$A$5:$A$28,0))*1,"")</f>
        <v>3.785</v>
      </c>
      <c r="F34" s="38" t="n">
        <f aca="false">IF(AND(D34&gt;0,ISNUMBER(E34)),ROUNDUP(D34/E34,0),0)</f>
        <v>5</v>
      </c>
      <c r="G34" s="8" t="n">
        <f aca="false">IFERROR(INDEX(Ingredients!$F$5:$F$28,MATCH(Formulas!$A$34,Ingredients!$A$5:$A$28,0))*1,"")</f>
        <v>135</v>
      </c>
      <c r="H34" s="8" t="n">
        <f aca="false">IF(ISNUMBER(G34),F34*G34,0)</f>
        <v>675</v>
      </c>
    </row>
    <row r="35" customFormat="false" ht="15" hidden="false" customHeight="false" outlineLevel="0" collapsed="false">
      <c r="A35" s="3" t="s">
        <v>233</v>
      </c>
      <c r="B35" s="20"/>
      <c r="C35" s="20"/>
      <c r="D35" s="20"/>
      <c r="E35" s="20"/>
      <c r="F35" s="20"/>
      <c r="G35" s="20"/>
      <c r="H35" s="9" t="n">
        <f aca="false">SUM(H28:H34)</f>
        <v>3749.21</v>
      </c>
    </row>
    <row r="38" customFormat="false" ht="15" hidden="false" customHeight="false" outlineLevel="0" collapsed="false">
      <c r="A38" s="23" t="s">
        <v>42</v>
      </c>
      <c r="B38" s="24"/>
      <c r="C38" s="24"/>
      <c r="D38" s="24"/>
      <c r="E38" s="24"/>
      <c r="F38" s="24"/>
      <c r="G38" s="24"/>
      <c r="H38" s="24"/>
    </row>
    <row r="39" customFormat="false" ht="30" hidden="false" customHeight="true" outlineLevel="0" collapsed="false">
      <c r="A39" s="5" t="s">
        <v>61</v>
      </c>
      <c r="B39" s="5" t="s">
        <v>228</v>
      </c>
      <c r="C39" s="5" t="s">
        <v>229</v>
      </c>
      <c r="D39" s="5" t="s">
        <v>230</v>
      </c>
      <c r="E39" s="5" t="s">
        <v>82</v>
      </c>
      <c r="F39" s="5" t="s">
        <v>231</v>
      </c>
      <c r="G39" s="5" t="s">
        <v>83</v>
      </c>
      <c r="H39" s="5" t="s">
        <v>232</v>
      </c>
    </row>
    <row r="40" customFormat="false" ht="15" hidden="false" customHeight="false" outlineLevel="0" collapsed="false">
      <c r="A40" s="6" t="str">
        <f aca="false">Formulas!$A$40</f>
        <v>Castor Oil</v>
      </c>
      <c r="B40" s="7" t="n">
        <f aca="false">Formulas!$C$40*Assumptions!$B$7*Assumptions!$B$8*Assumptions!$B$5</f>
        <v>0.5678115</v>
      </c>
      <c r="C40" s="7" t="n">
        <f aca="false">N(INDEX(Ingredients!$K$5:$K$28,MATCH(Formulas!$A$40,Ingredients!$A$5:$A$28,0)))</f>
        <v>0</v>
      </c>
      <c r="D40" s="7" t="n">
        <f aca="false">MAX(0,B40-C40)</f>
        <v>0.5678115</v>
      </c>
      <c r="E40" s="7" t="n">
        <f aca="false">IFERROR(INDEX(Ingredients!$E$5:$E$28,MATCH(Formulas!$A$40,Ingredients!$A$5:$A$28,0))*1,"")</f>
        <v>11.33980925</v>
      </c>
      <c r="F40" s="38" t="n">
        <f aca="false">IF(AND(D40&gt;0,ISNUMBER(E40)),ROUNDUP(D40/E40,0),0)</f>
        <v>1</v>
      </c>
      <c r="G40" s="8" t="n">
        <f aca="false">IFERROR(INDEX(Ingredients!$F$5:$F$28,MATCH(Formulas!$A$40,Ingredients!$A$5:$A$28,0))*1,"")</f>
        <v>160</v>
      </c>
      <c r="H40" s="8" t="n">
        <f aca="false">IF(ISNUMBER(G40),F40*G40,0)</f>
        <v>160</v>
      </c>
    </row>
    <row r="41" customFormat="false" ht="15" hidden="false" customHeight="false" outlineLevel="0" collapsed="false">
      <c r="A41" s="6" t="str">
        <f aca="false">Formulas!$A$41</f>
        <v>Jojoba Oil</v>
      </c>
      <c r="B41" s="7" t="n">
        <f aca="false">Formulas!$C$41*Assumptions!$B$7*Assumptions!$B$8*Assumptions!$B$5</f>
        <v>0.378541</v>
      </c>
      <c r="C41" s="7" t="n">
        <f aca="false">N(INDEX(Ingredients!$K$5:$K$28,MATCH(Formulas!$A$41,Ingredients!$A$5:$A$28,0)))</f>
        <v>0</v>
      </c>
      <c r="D41" s="7" t="n">
        <f aca="false">MAX(0,B41-C41)</f>
        <v>0.378541</v>
      </c>
      <c r="E41" s="7" t="n">
        <f aca="false">IFERROR(INDEX(Ingredients!$E$5:$E$28,MATCH(Formulas!$A$41,Ingredients!$A$5:$A$28,0))*1,"")</f>
        <v>11.33980925</v>
      </c>
      <c r="F41" s="38" t="n">
        <f aca="false">IF(AND(D41&gt;0,ISNUMBER(E41)),ROUNDUP(D41/E41,0),0)</f>
        <v>1</v>
      </c>
      <c r="G41" s="8" t="n">
        <f aca="false">IFERROR(INDEX(Ingredients!$F$5:$F$28,MATCH(Formulas!$A$41,Ingredients!$A$5:$A$28,0))*1,"")</f>
        <v>518</v>
      </c>
      <c r="H41" s="8" t="n">
        <f aca="false">IF(ISNUMBER(G41),F41*G41,0)</f>
        <v>518</v>
      </c>
    </row>
    <row r="42" customFormat="false" ht="15" hidden="false" customHeight="false" outlineLevel="0" collapsed="false">
      <c r="A42" s="6" t="str">
        <f aca="false">Formulas!$A$42</f>
        <v>Avocado Oil</v>
      </c>
      <c r="B42" s="7" t="n">
        <f aca="false">Formulas!$C$42*Assumptions!$B$7*Assumptions!$B$8*Assumptions!$B$5</f>
        <v>0.378541</v>
      </c>
      <c r="C42" s="7" t="n">
        <f aca="false">N(INDEX(Ingredients!$K$5:$K$28,MATCH(Formulas!$A$42,Ingredients!$A$5:$A$28,0)))</f>
        <v>0</v>
      </c>
      <c r="D42" s="7" t="n">
        <f aca="false">MAX(0,B42-C42)</f>
        <v>0.378541</v>
      </c>
      <c r="E42" s="7" t="n">
        <f aca="false">IFERROR(INDEX(Ingredients!$E$5:$E$28,MATCH(Formulas!$A$42,Ingredients!$A$5:$A$28,0))*1,"")</f>
        <v>11.33980925</v>
      </c>
      <c r="F42" s="38" t="n">
        <f aca="false">IF(AND(D42&gt;0,ISNUMBER(E42)),ROUNDUP(D42/E42,0),0)</f>
        <v>1</v>
      </c>
      <c r="G42" s="8" t="n">
        <f aca="false">IFERROR(INDEX(Ingredients!$F$5:$F$28,MATCH(Formulas!$A$42,Ingredients!$A$5:$A$28,0))*1,"")</f>
        <v>399.96</v>
      </c>
      <c r="H42" s="8" t="n">
        <f aca="false">IF(ISNUMBER(G42),F42*G42,0)</f>
        <v>399.96</v>
      </c>
    </row>
    <row r="43" customFormat="false" ht="15" hidden="false" customHeight="false" outlineLevel="0" collapsed="false">
      <c r="A43" s="6" t="str">
        <f aca="false">Formulas!$A$43</f>
        <v>Coffee essential oil (botanical)</v>
      </c>
      <c r="B43" s="7" t="n">
        <f aca="false">Formulas!$C$43*Assumptions!$B$7*Assumptions!$B$8*Assumptions!$B$5</f>
        <v>0.047317625</v>
      </c>
      <c r="C43" s="7" t="n">
        <f aca="false">N(INDEX(Ingredients!$K$5:$K$28,MATCH(Formulas!$A$43,Ingredients!$A$5:$A$28,0)))</f>
        <v>0</v>
      </c>
      <c r="D43" s="7" t="n">
        <f aca="false">MAX(0,B43-C43)</f>
        <v>0.047317625</v>
      </c>
      <c r="E43" s="7" t="n">
        <f aca="false">IFERROR(INDEX(Ingredients!$E$5:$E$28,MATCH(Formulas!$A$43,Ingredients!$A$5:$A$28,0))*1,"")</f>
        <v>11.33980925</v>
      </c>
      <c r="F43" s="38" t="n">
        <f aca="false">IF(AND(D43&gt;0,ISNUMBER(E43)),ROUNDUP(D43/E43,0),0)</f>
        <v>1</v>
      </c>
      <c r="G43" s="8" t="n">
        <f aca="false">IFERROR(INDEX(Ingredients!$F$5:$F$28,MATCH(Formulas!$A$43,Ingredients!$A$5:$A$28,0))*1,"")</f>
        <v>1809.95</v>
      </c>
      <c r="H43" s="8" t="n">
        <f aca="false">IF(ISNUMBER(G43),F43*G43,0)</f>
        <v>1809.95</v>
      </c>
    </row>
    <row r="44" customFormat="false" ht="15" hidden="false" customHeight="false" outlineLevel="0" collapsed="false">
      <c r="A44" s="6" t="str">
        <f aca="false">Formulas!$A$44</f>
        <v>Argireline (acetyl hexapeptide-8) solution</v>
      </c>
      <c r="B44" s="7" t="n">
        <f aca="false">Formulas!$C$44*Assumptions!$B$7*Assumptions!$B$8*Assumptions!$B$5</f>
        <v>0.9463525</v>
      </c>
      <c r="C44" s="7" t="n">
        <f aca="false">N(INDEX(Ingredients!$K$5:$K$28,MATCH(Formulas!$A$44,Ingredients!$A$5:$A$28,0)))</f>
        <v>0</v>
      </c>
      <c r="D44" s="7" t="n">
        <f aca="false">MAX(0,B44-C44)</f>
        <v>0.9463525</v>
      </c>
      <c r="E44" s="7" t="n">
        <f aca="false">IFERROR(INDEX(Ingredients!$E$5:$E$28,MATCH(Formulas!$A$44,Ingredients!$A$5:$A$28,0))*1,"")</f>
        <v>0.48</v>
      </c>
      <c r="F44" s="38" t="n">
        <f aca="false">IF(AND(D44&gt;0,ISNUMBER(E44)),ROUNDUP(D44/E44,0),0)</f>
        <v>2</v>
      </c>
      <c r="G44" s="8" t="n">
        <f aca="false">IFERROR(INDEX(Ingredients!$F$5:$F$28,MATCH(Formulas!$A$44,Ingredients!$A$5:$A$28,0))*1,"")</f>
        <v>334.75</v>
      </c>
      <c r="H44" s="8" t="n">
        <f aca="false">IF(ISNUMBER(G44),F44*G44,0)</f>
        <v>669.5</v>
      </c>
    </row>
    <row r="45" customFormat="false" ht="15" hidden="false" customHeight="false" outlineLevel="0" collapsed="false">
      <c r="A45" s="6" t="str">
        <f aca="false">Formulas!$A$45</f>
        <v>Sodium hyaluronate (hyaluronic acid, HMW)</v>
      </c>
      <c r="B45" s="7" t="n">
        <f aca="false">Formulas!$C$45*Assumptions!$B$7*Assumptions!$B$8*Assumptions!$B$5</f>
        <v>0.01892705</v>
      </c>
      <c r="C45" s="7" t="n">
        <f aca="false">N(INDEX(Ingredients!$K$5:$K$28,MATCH(Formulas!$A$45,Ingredients!$A$5:$A$28,0)))</f>
        <v>0</v>
      </c>
      <c r="D45" s="7" t="n">
        <f aca="false">MAX(0,B45-C45)</f>
        <v>0.01892705</v>
      </c>
      <c r="E45" s="7" t="n">
        <f aca="false">IFERROR(INDEX(Ingredients!$E$5:$E$28,MATCH(Formulas!$A$45,Ingredients!$A$5:$A$28,0))*1,"")</f>
        <v>1</v>
      </c>
      <c r="F45" s="38" t="n">
        <f aca="false">IF(AND(D45&gt;0,ISNUMBER(E45)),ROUNDUP(D45/E45,0),0)</f>
        <v>1</v>
      </c>
      <c r="G45" s="8" t="n">
        <f aca="false">IFERROR(INDEX(Ingredients!$F$5:$F$28,MATCH(Formulas!$A$45,Ingredients!$A$5:$A$28,0))*1,"")</f>
        <v>498</v>
      </c>
      <c r="H45" s="8" t="n">
        <f aca="false">IF(ISNUMBER(G45),F45*G45,0)</f>
        <v>498</v>
      </c>
    </row>
    <row r="46" customFormat="false" ht="15" hidden="false" customHeight="false" outlineLevel="0" collapsed="false">
      <c r="A46" s="6" t="str">
        <f aca="false">Formulas!$A$46</f>
        <v>Cucumber fruit extract</v>
      </c>
      <c r="B46" s="7" t="n">
        <f aca="false">Formulas!$C$46*Assumptions!$B$7*Assumptions!$B$8*Assumptions!$B$5</f>
        <v>0.1892705</v>
      </c>
      <c r="C46" s="7" t="n">
        <f aca="false">N(INDEX(Ingredients!$K$5:$K$28,MATCH(Formulas!$A$46,Ingredients!$A$5:$A$28,0)))</f>
        <v>0</v>
      </c>
      <c r="D46" s="7" t="n">
        <f aca="false">MAX(0,B46-C46)</f>
        <v>0.1892705</v>
      </c>
      <c r="E46" s="7" t="n">
        <f aca="false">IFERROR(INDEX(Ingredients!$E$5:$E$28,MATCH(Formulas!$A$46,Ingredients!$A$5:$A$28,0))*1,"")</f>
        <v>1</v>
      </c>
      <c r="F46" s="38" t="n">
        <f aca="false">IF(AND(D46&gt;0,ISNUMBER(E46)),ROUNDUP(D46/E46,0),0)</f>
        <v>1</v>
      </c>
      <c r="G46" s="8" t="n">
        <f aca="false">IFERROR(INDEX(Ingredients!$F$5:$F$28,MATCH(Formulas!$A$46,Ingredients!$A$5:$A$28,0))*1,"")</f>
        <v>61</v>
      </c>
      <c r="H46" s="8" t="n">
        <f aca="false">IF(ISNUMBER(G46),F46*G46,0)</f>
        <v>61</v>
      </c>
    </row>
    <row r="47" customFormat="false" ht="15" hidden="false" customHeight="false" outlineLevel="0" collapsed="false">
      <c r="A47" s="6" t="str">
        <f aca="false">Formulas!$A$47</f>
        <v>Licorice root extract</v>
      </c>
      <c r="B47" s="7" t="n">
        <f aca="false">Formulas!$C$47*Assumptions!$B$7*Assumptions!$B$8*Assumptions!$B$5</f>
        <v>0.09463525</v>
      </c>
      <c r="C47" s="7" t="n">
        <f aca="false">N(INDEX(Ingredients!$K$5:$K$28,MATCH(Formulas!$A$47,Ingredients!$A$5:$A$28,0)))</f>
        <v>0</v>
      </c>
      <c r="D47" s="7" t="n">
        <f aca="false">MAX(0,B47-C47)</f>
        <v>0.09463525</v>
      </c>
      <c r="E47" s="7" t="n">
        <f aca="false">IFERROR(INDEX(Ingredients!$E$5:$E$28,MATCH(Formulas!$A$47,Ingredients!$A$5:$A$28,0))*1,"")</f>
        <v>1</v>
      </c>
      <c r="F47" s="38" t="n">
        <f aca="false">IF(AND(D47&gt;0,ISNUMBER(E47)),ROUNDUP(D47/E47,0),0)</f>
        <v>1</v>
      </c>
      <c r="G47" s="8" t="n">
        <f aca="false">IFERROR(INDEX(Ingredients!$F$5:$F$28,MATCH(Formulas!$A$47,Ingredients!$A$5:$A$28,0))*1,"")</f>
        <v>56.25</v>
      </c>
      <c r="H47" s="8" t="n">
        <f aca="false">IF(ISNUMBER(G47),F47*G47,0)</f>
        <v>56.25</v>
      </c>
    </row>
    <row r="48" customFormat="false" ht="15" hidden="false" customHeight="false" outlineLevel="0" collapsed="false">
      <c r="A48" s="6" t="str">
        <f aca="false">Formulas!$A$48</f>
        <v>Organic Creations (OR) — Aloe Vera Gel</v>
      </c>
      <c r="B48" s="7" t="n">
        <f aca="false">Formulas!$C$48*Assumptions!$B$7*Assumptions!$B$8*Assumptions!$B$5</f>
        <v>16.305653575</v>
      </c>
      <c r="C48" s="7" t="n">
        <f aca="false">N(INDEX(Ingredients!$K$5:$K$28,MATCH(Formulas!$A$48,Ingredients!$A$5:$A$28,0)))</f>
        <v>0</v>
      </c>
      <c r="D48" s="7" t="n">
        <f aca="false">MAX(0,B48-C48)</f>
        <v>16.305653575</v>
      </c>
      <c r="E48" s="7" t="n">
        <f aca="false">IFERROR(INDEX(Ingredients!$E$5:$E$28,MATCH(Formulas!$A$48,Ingredients!$A$5:$A$28,0))*1,"")</f>
        <v>18.925</v>
      </c>
      <c r="F48" s="38" t="n">
        <f aca="false">IF(AND(D48&gt;0,ISNUMBER(E48)),ROUNDUP(D48/E48,0),0)</f>
        <v>1</v>
      </c>
      <c r="G48" s="8" t="n">
        <f aca="false">IFERROR(INDEX(Ingredients!$F$5:$F$28,MATCH(Formulas!$A$48,Ingredients!$A$5:$A$28,0))*1,"")</f>
        <v>138</v>
      </c>
      <c r="H48" s="8" t="n">
        <f aca="false">IF(ISNUMBER(G48),F48*G48,0)</f>
        <v>138</v>
      </c>
    </row>
    <row r="49" customFormat="false" ht="15" hidden="false" customHeight="false" outlineLevel="0" collapsed="false">
      <c r="A49" s="3" t="s">
        <v>233</v>
      </c>
      <c r="B49" s="20"/>
      <c r="C49" s="20"/>
      <c r="D49" s="20"/>
      <c r="E49" s="20"/>
      <c r="F49" s="20"/>
      <c r="G49" s="20"/>
      <c r="H49" s="9" t="n">
        <f aca="false">SUM(H40:H48)</f>
        <v>4310.66</v>
      </c>
    </row>
    <row r="52" customFormat="false" ht="15" hidden="false" customHeight="false" outlineLevel="0" collapsed="false">
      <c r="A52" s="23" t="s">
        <v>43</v>
      </c>
      <c r="B52" s="24"/>
      <c r="C52" s="24"/>
      <c r="D52" s="24"/>
      <c r="E52" s="24"/>
      <c r="F52" s="24"/>
      <c r="G52" s="24"/>
      <c r="H52" s="24"/>
    </row>
    <row r="53" customFormat="false" ht="30" hidden="false" customHeight="true" outlineLevel="0" collapsed="false">
      <c r="A53" s="5" t="s">
        <v>61</v>
      </c>
      <c r="B53" s="5" t="s">
        <v>228</v>
      </c>
      <c r="C53" s="5" t="s">
        <v>229</v>
      </c>
      <c r="D53" s="5" t="s">
        <v>230</v>
      </c>
      <c r="E53" s="5" t="s">
        <v>82</v>
      </c>
      <c r="F53" s="5" t="s">
        <v>231</v>
      </c>
      <c r="G53" s="5" t="s">
        <v>83</v>
      </c>
      <c r="H53" s="5" t="s">
        <v>232</v>
      </c>
    </row>
    <row r="54" customFormat="false" ht="15" hidden="false" customHeight="false" outlineLevel="0" collapsed="false">
      <c r="A54" s="6" t="str">
        <f aca="false">Formulas!$A$54</f>
        <v>Niacinamide</v>
      </c>
      <c r="B54" s="7" t="n">
        <f aca="false">Formulas!$C$54*Assumptions!$B$7*Assumptions!$B$8*Assumptions!$B$5</f>
        <v>0.378541</v>
      </c>
      <c r="C54" s="7" t="n">
        <f aca="false">N(INDEX(Ingredients!$K$5:$K$28,MATCH(Formulas!$A$54,Ingredients!$A$5:$A$28,0)))</f>
        <v>0</v>
      </c>
      <c r="D54" s="7" t="n">
        <f aca="false">MAX(0,B54-C54)</f>
        <v>0.378541</v>
      </c>
      <c r="E54" s="7" t="n">
        <f aca="false">IFERROR(INDEX(Ingredients!$E$5:$E$28,MATCH(Formulas!$A$54,Ingredients!$A$5:$A$28,0))*1,"")</f>
        <v>5</v>
      </c>
      <c r="F54" s="38" t="n">
        <f aca="false">IF(AND(D54&gt;0,ISNUMBER(E54)),ROUNDUP(D54/E54,0),0)</f>
        <v>1</v>
      </c>
      <c r="G54" s="8" t="n">
        <f aca="false">IFERROR(INDEX(Ingredients!$F$5:$F$28,MATCH(Formulas!$A$54,Ingredients!$A$5:$A$28,0))*1,"")</f>
        <v>224.8</v>
      </c>
      <c r="H54" s="8" t="n">
        <f aca="false">IF(ISNUMBER(G54),F54*G54,0)</f>
        <v>224.8</v>
      </c>
    </row>
    <row r="55" customFormat="false" ht="15" hidden="false" customHeight="false" outlineLevel="0" collapsed="false">
      <c r="A55" s="6" t="str">
        <f aca="false">Formulas!$A$55</f>
        <v>Sodium hyaluronate (hyaluronic acid, HMW)</v>
      </c>
      <c r="B55" s="7" t="n">
        <f aca="false">Formulas!$C$55*Assumptions!$B$7*Assumptions!$B$8*Assumptions!$B$5</f>
        <v>0.0378541</v>
      </c>
      <c r="C55" s="7" t="n">
        <f aca="false">N(INDEX(Ingredients!$K$5:$K$28,MATCH(Formulas!$A$55,Ingredients!$A$5:$A$28,0)))</f>
        <v>0</v>
      </c>
      <c r="D55" s="7" t="n">
        <f aca="false">MAX(0,B55-C55)</f>
        <v>0.0378541</v>
      </c>
      <c r="E55" s="7" t="n">
        <f aca="false">IFERROR(INDEX(Ingredients!$E$5:$E$28,MATCH(Formulas!$A$55,Ingredients!$A$5:$A$28,0))*1,"")</f>
        <v>1</v>
      </c>
      <c r="F55" s="38" t="n">
        <f aca="false">IF(AND(D55&gt;0,ISNUMBER(E55)),ROUNDUP(D55/E55,0),0)</f>
        <v>1</v>
      </c>
      <c r="G55" s="8" t="n">
        <f aca="false">IFERROR(INDEX(Ingredients!$F$5:$F$28,MATCH(Formulas!$A$55,Ingredients!$A$5:$A$28,0))*1,"")</f>
        <v>498</v>
      </c>
      <c r="H55" s="8" t="n">
        <f aca="false">IF(ISNUMBER(G55),F55*G55,0)</f>
        <v>498</v>
      </c>
    </row>
    <row r="56" customFormat="false" ht="15" hidden="false" customHeight="false" outlineLevel="0" collapsed="false">
      <c r="A56" s="6" t="str">
        <f aca="false">Formulas!$A$56</f>
        <v>Avocado Oil</v>
      </c>
      <c r="B56" s="7" t="n">
        <f aca="false">Formulas!$C$56*Assumptions!$B$7*Assumptions!$B$8*Assumptions!$B$5</f>
        <v>0.09463525</v>
      </c>
      <c r="C56" s="7" t="n">
        <f aca="false">N(INDEX(Ingredients!$K$5:$K$28,MATCH(Formulas!$A$56,Ingredients!$A$5:$A$28,0)))</f>
        <v>0</v>
      </c>
      <c r="D56" s="7" t="n">
        <f aca="false">MAX(0,B56-C56)</f>
        <v>0.09463525</v>
      </c>
      <c r="E56" s="7" t="n">
        <f aca="false">IFERROR(INDEX(Ingredients!$E$5:$E$28,MATCH(Formulas!$A$56,Ingredients!$A$5:$A$28,0))*1,"")</f>
        <v>11.33980925</v>
      </c>
      <c r="F56" s="38" t="n">
        <f aca="false">IF(AND(D56&gt;0,ISNUMBER(E56)),ROUNDUP(D56/E56,0),0)</f>
        <v>1</v>
      </c>
      <c r="G56" s="8" t="n">
        <f aca="false">IFERROR(INDEX(Ingredients!$F$5:$F$28,MATCH(Formulas!$A$56,Ingredients!$A$5:$A$28,0))*1,"")</f>
        <v>399.96</v>
      </c>
      <c r="H56" s="8" t="n">
        <f aca="false">IF(ISNUMBER(G56),F56*G56,0)</f>
        <v>399.96</v>
      </c>
    </row>
    <row r="57" customFormat="false" ht="15" hidden="false" customHeight="false" outlineLevel="0" collapsed="false">
      <c r="A57" s="6" t="str">
        <f aca="false">Formulas!$A$57</f>
        <v>Red Raspberry Seed Oil</v>
      </c>
      <c r="B57" s="7" t="n">
        <f aca="false">Formulas!$C$57*Assumptions!$B$7*Assumptions!$B$8*Assumptions!$B$5</f>
        <v>0.09463525</v>
      </c>
      <c r="C57" s="7" t="n">
        <f aca="false">N(INDEX(Ingredients!$K$5:$K$28,MATCH(Formulas!$A$57,Ingredients!$A$5:$A$28,0)))</f>
        <v>0</v>
      </c>
      <c r="D57" s="7" t="n">
        <f aca="false">MAX(0,B57-C57)</f>
        <v>0.09463525</v>
      </c>
      <c r="E57" s="7" t="n">
        <f aca="false">IFERROR(INDEX(Ingredients!$E$5:$E$28,MATCH(Formulas!$A$57,Ingredients!$A$5:$A$28,0))*1,"")</f>
        <v>11.33980925</v>
      </c>
      <c r="F57" s="38" t="n">
        <f aca="false">IF(AND(D57&gt;0,ISNUMBER(E57)),ROUNDUP(D57/E57,0),0)</f>
        <v>1</v>
      </c>
      <c r="G57" s="8" t="n">
        <f aca="false">IFERROR(INDEX(Ingredients!$F$5:$F$28,MATCH(Formulas!$A$57,Ingredients!$A$5:$A$28,0))*1,"")</f>
        <v>1032.94</v>
      </c>
      <c r="H57" s="8" t="n">
        <f aca="false">IF(ISNUMBER(G57),F57*G57,0)</f>
        <v>1032.94</v>
      </c>
    </row>
    <row r="58" customFormat="false" ht="15" hidden="false" customHeight="false" outlineLevel="0" collapsed="false">
      <c r="A58" s="6" t="str">
        <f aca="false">Formulas!$A$58</f>
        <v>RainShadow Labs — All Purpose Lotion</v>
      </c>
      <c r="B58" s="7" t="n">
        <f aca="false">Formulas!$C$58*Assumptions!$B$7*Assumptions!$B$8*Assumptions!$B$5</f>
        <v>18.3213844</v>
      </c>
      <c r="C58" s="7" t="n">
        <f aca="false">N(INDEX(Ingredients!$K$5:$K$28,MATCH(Formulas!$A$58,Ingredients!$A$5:$A$28,0)))</f>
        <v>0</v>
      </c>
      <c r="D58" s="7" t="n">
        <f aca="false">MAX(0,B58-C58)</f>
        <v>18.3213844</v>
      </c>
      <c r="E58" s="7" t="n">
        <f aca="false">IFERROR(INDEX(Ingredients!$E$5:$E$28,MATCH(Formulas!$A$58,Ingredients!$A$5:$A$28,0))*1,"")</f>
        <v>18.927</v>
      </c>
      <c r="F58" s="38" t="n">
        <f aca="false">IF(AND(D58&gt;0,ISNUMBER(E58)),ROUNDUP(D58/E58,0),0)</f>
        <v>1</v>
      </c>
      <c r="G58" s="8" t="n">
        <f aca="false">IFERROR(INDEX(Ingredients!$F$5:$F$28,MATCH(Formulas!$A$58,Ingredients!$A$5:$A$28,0))*1,"")</f>
        <v>167.5</v>
      </c>
      <c r="H58" s="8" t="n">
        <f aca="false">IF(ISNUMBER(G58),F58*G58,0)</f>
        <v>167.5</v>
      </c>
    </row>
    <row r="59" customFormat="false" ht="15" hidden="false" customHeight="false" outlineLevel="0" collapsed="false">
      <c r="A59" s="3" t="s">
        <v>233</v>
      </c>
      <c r="B59" s="20"/>
      <c r="C59" s="20"/>
      <c r="D59" s="20"/>
      <c r="E59" s="20"/>
      <c r="F59" s="20"/>
      <c r="G59" s="20"/>
      <c r="H59" s="9" t="n">
        <f aca="false">SUM(H54:H58)</f>
        <v>2323.2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2026-10-19T02:25:33Z</dcterms:created>
  <dc:creator>openpyxl</dc:creator>
  <dc:description/>
  <dc:language>en-US</dc:language>
  <cp:lastModifiedBy/>
  <dcterms:modified xsi:type="dcterms:W3CDTF">2026-10-19T02:25:34Z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